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gio Lizcano\Downloads\"/>
    </mc:Choice>
  </mc:AlternateContent>
  <xr:revisionPtr revIDLastSave="0" documentId="13_ncr:1_{B7965ADD-70F5-4F22-B231-88FF193F9742}" xr6:coauthVersionLast="47" xr6:coauthVersionMax="47" xr10:uidLastSave="{00000000-0000-0000-0000-000000000000}"/>
  <bookViews>
    <workbookView xWindow="-120" yWindow="-120" windowWidth="20730" windowHeight="11160" activeTab="1" xr2:uid="{467BF920-8972-4358-882C-3CE6DC52A5A5}"/>
  </bookViews>
  <sheets>
    <sheet name="Instructivo" sheetId="4" r:id="rId1"/>
    <sheet name="Mis finanzas" sheetId="2" r:id="rId2"/>
    <sheet name="Actividades 2025" sheetId="1" r:id="rId3"/>
    <sheet name="data COLCAP" sheetId="8" state="hidden" r:id="rId4"/>
    <sheet name="data S&amp;P500" sheetId="6" state="hidden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5" i="6" l="1"/>
  <c r="AA5" i="8" s="1"/>
  <c r="T21" i="1"/>
  <c r="AM14" i="6"/>
  <c r="AM30" i="6" s="1"/>
  <c r="AM13" i="6"/>
  <c r="AM29" i="6" s="1"/>
  <c r="AM45" i="6" s="1"/>
  <c r="AM61" i="6" s="1"/>
  <c r="AM77" i="6" s="1"/>
  <c r="AM93" i="6" s="1"/>
  <c r="AA93" i="8" s="1"/>
  <c r="AM12" i="6"/>
  <c r="AM28" i="6" s="1"/>
  <c r="AM44" i="6" s="1"/>
  <c r="AM60" i="6" s="1"/>
  <c r="AM76" i="6" s="1"/>
  <c r="AM92" i="6" s="1"/>
  <c r="AA92" i="8" s="1"/>
  <c r="AM11" i="6"/>
  <c r="AM27" i="6" s="1"/>
  <c r="AM43" i="6" s="1"/>
  <c r="AM59" i="6" s="1"/>
  <c r="AM75" i="6" s="1"/>
  <c r="AM91" i="6" s="1"/>
  <c r="AA91" i="8" s="1"/>
  <c r="AM10" i="6"/>
  <c r="AM26" i="6" s="1"/>
  <c r="AM42" i="6" s="1"/>
  <c r="AM58" i="6" s="1"/>
  <c r="AM74" i="6" s="1"/>
  <c r="AM90" i="6" s="1"/>
  <c r="AA90" i="8" s="1"/>
  <c r="AM9" i="6"/>
  <c r="AM25" i="6" s="1"/>
  <c r="AM41" i="6" s="1"/>
  <c r="AM57" i="6" s="1"/>
  <c r="AM73" i="6" s="1"/>
  <c r="AM89" i="6" s="1"/>
  <c r="AA89" i="8" s="1"/>
  <c r="AM8" i="6"/>
  <c r="AA8" i="8" s="1"/>
  <c r="AM7" i="6"/>
  <c r="AM23" i="6" s="1"/>
  <c r="AM39" i="6" s="1"/>
  <c r="AM55" i="6" s="1"/>
  <c r="AM71" i="6" s="1"/>
  <c r="AM87" i="6" s="1"/>
  <c r="AA87" i="8" s="1"/>
  <c r="AM6" i="6"/>
  <c r="AA6" i="8" s="1"/>
  <c r="AM4" i="6"/>
  <c r="AM20" i="6" s="1"/>
  <c r="AM36" i="6" s="1"/>
  <c r="AM52" i="6" s="1"/>
  <c r="AM68" i="6" s="1"/>
  <c r="AM84" i="6" s="1"/>
  <c r="AA84" i="8" s="1"/>
  <c r="AM3" i="6"/>
  <c r="AM19" i="6" s="1"/>
  <c r="AM35" i="6" s="1"/>
  <c r="AM51" i="6" s="1"/>
  <c r="AM67" i="6" s="1"/>
  <c r="AM83" i="6" s="1"/>
  <c r="AA83" i="8" s="1"/>
  <c r="T30" i="1"/>
  <c r="T28" i="1"/>
  <c r="T19" i="1"/>
  <c r="P51" i="8"/>
  <c r="N94" i="8"/>
  <c r="N93" i="8"/>
  <c r="N92" i="8"/>
  <c r="N91" i="8"/>
  <c r="N90" i="8"/>
  <c r="N89" i="8"/>
  <c r="U89" i="8" s="1"/>
  <c r="AB89" i="8" s="1"/>
  <c r="N88" i="8"/>
  <c r="N87" i="8"/>
  <c r="U87" i="8" s="1"/>
  <c r="AB87" i="8" s="1"/>
  <c r="N86" i="8"/>
  <c r="U86" i="8" s="1"/>
  <c r="AB86" i="8" s="1"/>
  <c r="N85" i="8"/>
  <c r="N84" i="8"/>
  <c r="N83" i="8"/>
  <c r="U83" i="8" s="1"/>
  <c r="AB83" i="8" s="1"/>
  <c r="N78" i="8"/>
  <c r="N77" i="8"/>
  <c r="U77" i="8" s="1"/>
  <c r="AB77" i="8" s="1"/>
  <c r="N76" i="8"/>
  <c r="U76" i="8" s="1"/>
  <c r="AB76" i="8" s="1"/>
  <c r="N75" i="8"/>
  <c r="N74" i="8"/>
  <c r="N73" i="8"/>
  <c r="N72" i="8"/>
  <c r="N71" i="8"/>
  <c r="U71" i="8" s="1"/>
  <c r="AB71" i="8" s="1"/>
  <c r="N70" i="8"/>
  <c r="U70" i="8" s="1"/>
  <c r="AB70" i="8" s="1"/>
  <c r="N69" i="8"/>
  <c r="U69" i="8" s="1"/>
  <c r="AB69" i="8" s="1"/>
  <c r="N68" i="8"/>
  <c r="N67" i="8"/>
  <c r="U67" i="8" s="1"/>
  <c r="AB67" i="8" s="1"/>
  <c r="N62" i="8"/>
  <c r="N61" i="8"/>
  <c r="N60" i="8"/>
  <c r="N59" i="8"/>
  <c r="N58" i="8"/>
  <c r="N57" i="8"/>
  <c r="N56" i="8"/>
  <c r="U56" i="8" s="1"/>
  <c r="AB56" i="8" s="1"/>
  <c r="N55" i="8"/>
  <c r="U55" i="8" s="1"/>
  <c r="AB55" i="8" s="1"/>
  <c r="N54" i="8"/>
  <c r="N53" i="8"/>
  <c r="N52" i="8"/>
  <c r="U52" i="8" s="1"/>
  <c r="AB52" i="8" s="1"/>
  <c r="N51" i="8"/>
  <c r="U51" i="8" s="1"/>
  <c r="AB51" i="8" s="1"/>
  <c r="N46" i="8"/>
  <c r="N45" i="8"/>
  <c r="U45" i="8" s="1"/>
  <c r="AB45" i="8" s="1"/>
  <c r="N44" i="8"/>
  <c r="U44" i="8" s="1"/>
  <c r="AB44" i="8" s="1"/>
  <c r="N43" i="8"/>
  <c r="N42" i="8"/>
  <c r="N41" i="8"/>
  <c r="N40" i="8"/>
  <c r="N39" i="8"/>
  <c r="U39" i="8" s="1"/>
  <c r="AB39" i="8" s="1"/>
  <c r="N38" i="8"/>
  <c r="N37" i="8"/>
  <c r="U37" i="8" s="1"/>
  <c r="AB37" i="8" s="1"/>
  <c r="N36" i="8"/>
  <c r="U36" i="8" s="1"/>
  <c r="AB36" i="8" s="1"/>
  <c r="N35" i="8"/>
  <c r="U35" i="8" s="1"/>
  <c r="AB35" i="8" s="1"/>
  <c r="N30" i="8"/>
  <c r="N29" i="8"/>
  <c r="N28" i="8"/>
  <c r="N27" i="8"/>
  <c r="N26" i="8"/>
  <c r="N25" i="8"/>
  <c r="N24" i="8"/>
  <c r="N23" i="8"/>
  <c r="U23" i="8" s="1"/>
  <c r="AB23" i="8" s="1"/>
  <c r="N22" i="8"/>
  <c r="U22" i="8" s="1"/>
  <c r="AB22" i="8" s="1"/>
  <c r="N21" i="8"/>
  <c r="U21" i="8" s="1"/>
  <c r="AB21" i="8" s="1"/>
  <c r="N20" i="8"/>
  <c r="N19" i="8"/>
  <c r="N14" i="8"/>
  <c r="N13" i="8"/>
  <c r="N12" i="8"/>
  <c r="N11" i="8"/>
  <c r="N10" i="8"/>
  <c r="N9" i="8"/>
  <c r="N8" i="8"/>
  <c r="N7" i="8"/>
  <c r="U7" i="8" s="1"/>
  <c r="AB7" i="8" s="1"/>
  <c r="N6" i="8"/>
  <c r="N5" i="8"/>
  <c r="N4" i="8"/>
  <c r="N3" i="8"/>
  <c r="U3" i="8" s="1"/>
  <c r="AB3" i="8" s="1"/>
  <c r="U94" i="8"/>
  <c r="AB94" i="8" s="1"/>
  <c r="U93" i="8"/>
  <c r="AB93" i="8" s="1"/>
  <c r="U92" i="8"/>
  <c r="AB92" i="8" s="1"/>
  <c r="U91" i="8"/>
  <c r="AB91" i="8" s="1"/>
  <c r="U90" i="8"/>
  <c r="AB90" i="8" s="1"/>
  <c r="U88" i="8"/>
  <c r="AB88" i="8" s="1"/>
  <c r="U85" i="8"/>
  <c r="AB85" i="8" s="1"/>
  <c r="U84" i="8"/>
  <c r="AB84" i="8" s="1"/>
  <c r="U78" i="8"/>
  <c r="AB78" i="8" s="1"/>
  <c r="U75" i="8"/>
  <c r="AB75" i="8" s="1"/>
  <c r="U74" i="8"/>
  <c r="AB74" i="8" s="1"/>
  <c r="U73" i="8"/>
  <c r="AB73" i="8" s="1"/>
  <c r="A73" i="8"/>
  <c r="U72" i="8"/>
  <c r="AB72" i="8" s="1"/>
  <c r="A72" i="8"/>
  <c r="A71" i="8"/>
  <c r="A70" i="8"/>
  <c r="A69" i="8"/>
  <c r="U68" i="8"/>
  <c r="AB68" i="8" s="1"/>
  <c r="A68" i="8"/>
  <c r="A67" i="8"/>
  <c r="A66" i="8"/>
  <c r="A65" i="8"/>
  <c r="A64" i="8"/>
  <c r="A63" i="8"/>
  <c r="U62" i="8"/>
  <c r="AB62" i="8" s="1"/>
  <c r="A62" i="8"/>
  <c r="U61" i="8"/>
  <c r="AB61" i="8" s="1"/>
  <c r="A61" i="8"/>
  <c r="U60" i="8"/>
  <c r="AB60" i="8" s="1"/>
  <c r="A60" i="8"/>
  <c r="U59" i="8"/>
  <c r="AB59" i="8" s="1"/>
  <c r="A59" i="8"/>
  <c r="U58" i="8"/>
  <c r="AB58" i="8" s="1"/>
  <c r="A58" i="8"/>
  <c r="U57" i="8"/>
  <c r="AB57" i="8" s="1"/>
  <c r="A57" i="8"/>
  <c r="A56" i="8"/>
  <c r="A55" i="8"/>
  <c r="U54" i="8"/>
  <c r="AB54" i="8" s="1"/>
  <c r="A54" i="8"/>
  <c r="U53" i="8"/>
  <c r="AB53" i="8" s="1"/>
  <c r="A53" i="8"/>
  <c r="A52" i="8"/>
  <c r="A51" i="8"/>
  <c r="A50" i="8"/>
  <c r="A49" i="8"/>
  <c r="A48" i="8"/>
  <c r="A47" i="8"/>
  <c r="U46" i="8"/>
  <c r="AB46" i="8" s="1"/>
  <c r="A46" i="8"/>
  <c r="A45" i="8"/>
  <c r="A44" i="8"/>
  <c r="U43" i="8"/>
  <c r="AB43" i="8" s="1"/>
  <c r="A43" i="8"/>
  <c r="U42" i="8"/>
  <c r="AB42" i="8" s="1"/>
  <c r="A42" i="8"/>
  <c r="U41" i="8"/>
  <c r="AB41" i="8" s="1"/>
  <c r="A41" i="8"/>
  <c r="U40" i="8"/>
  <c r="AB40" i="8" s="1"/>
  <c r="A40" i="8"/>
  <c r="A39" i="8"/>
  <c r="U38" i="8"/>
  <c r="AB38" i="8" s="1"/>
  <c r="A38" i="8"/>
  <c r="A37" i="8"/>
  <c r="A36" i="8"/>
  <c r="A35" i="8"/>
  <c r="A34" i="8"/>
  <c r="A33" i="8"/>
  <c r="A32" i="8"/>
  <c r="A31" i="8"/>
  <c r="U30" i="8"/>
  <c r="AB30" i="8" s="1"/>
  <c r="A30" i="8"/>
  <c r="U29" i="8"/>
  <c r="AB29" i="8" s="1"/>
  <c r="A29" i="8"/>
  <c r="U28" i="8"/>
  <c r="AB28" i="8" s="1"/>
  <c r="A28" i="8"/>
  <c r="U27" i="8"/>
  <c r="AB27" i="8" s="1"/>
  <c r="A27" i="8"/>
  <c r="U26" i="8"/>
  <c r="AB26" i="8" s="1"/>
  <c r="A26" i="8"/>
  <c r="U25" i="8"/>
  <c r="AB25" i="8" s="1"/>
  <c r="A25" i="8"/>
  <c r="U24" i="8"/>
  <c r="AB24" i="8" s="1"/>
  <c r="A24" i="8"/>
  <c r="A23" i="8"/>
  <c r="A22" i="8"/>
  <c r="A21" i="8"/>
  <c r="U20" i="8"/>
  <c r="AB20" i="8" s="1"/>
  <c r="A20" i="8"/>
  <c r="U19" i="8"/>
  <c r="AB19" i="8" s="1"/>
  <c r="A19" i="8"/>
  <c r="A18" i="8"/>
  <c r="A17" i="8"/>
  <c r="A16" i="8"/>
  <c r="A15" i="8"/>
  <c r="U14" i="8"/>
  <c r="AB14" i="8" s="1"/>
  <c r="T14" i="8"/>
  <c r="M14" i="8"/>
  <c r="M30" i="8" s="1"/>
  <c r="A14" i="8"/>
  <c r="AB13" i="8"/>
  <c r="T13" i="8"/>
  <c r="U13" i="8"/>
  <c r="M13" i="8"/>
  <c r="M29" i="8" s="1"/>
  <c r="A13" i="8"/>
  <c r="T12" i="8"/>
  <c r="U12" i="8"/>
  <c r="AB12" i="8" s="1"/>
  <c r="M12" i="8"/>
  <c r="A12" i="8"/>
  <c r="U11" i="8"/>
  <c r="AB11" i="8" s="1"/>
  <c r="T11" i="8"/>
  <c r="M11" i="8"/>
  <c r="M27" i="8" s="1"/>
  <c r="A11" i="8"/>
  <c r="U10" i="8"/>
  <c r="AB10" i="8" s="1"/>
  <c r="T10" i="8"/>
  <c r="M10" i="8"/>
  <c r="M26" i="8" s="1"/>
  <c r="A10" i="8"/>
  <c r="T9" i="8"/>
  <c r="U9" i="8"/>
  <c r="AB9" i="8" s="1"/>
  <c r="M9" i="8"/>
  <c r="M25" i="8" s="1"/>
  <c r="A9" i="8"/>
  <c r="T8" i="8"/>
  <c r="U8" i="8"/>
  <c r="AB8" i="8" s="1"/>
  <c r="M8" i="8"/>
  <c r="A8" i="8"/>
  <c r="T7" i="8"/>
  <c r="M7" i="8"/>
  <c r="M23" i="8" s="1"/>
  <c r="A7" i="8"/>
  <c r="U6" i="8"/>
  <c r="AB6" i="8" s="1"/>
  <c r="T6" i="8"/>
  <c r="M6" i="8"/>
  <c r="M22" i="8" s="1"/>
  <c r="A6" i="8"/>
  <c r="U5" i="8"/>
  <c r="AB5" i="8" s="1"/>
  <c r="T5" i="8"/>
  <c r="M5" i="8"/>
  <c r="M21" i="8" s="1"/>
  <c r="A5" i="8"/>
  <c r="U4" i="8"/>
  <c r="AB4" i="8" s="1"/>
  <c r="T4" i="8"/>
  <c r="M4" i="8"/>
  <c r="M20" i="8" s="1"/>
  <c r="M36" i="8" s="1"/>
  <c r="A4" i="8"/>
  <c r="T3" i="8"/>
  <c r="M3" i="8"/>
  <c r="A3" i="8"/>
  <c r="A2" i="8"/>
  <c r="AA42" i="8" l="1"/>
  <c r="AA25" i="8"/>
  <c r="AA23" i="8"/>
  <c r="AA43" i="8"/>
  <c r="AA3" i="8"/>
  <c r="AA55" i="8"/>
  <c r="AA10" i="8"/>
  <c r="AA57" i="8"/>
  <c r="AA11" i="8"/>
  <c r="AA67" i="8"/>
  <c r="AA74" i="8"/>
  <c r="AA75" i="8"/>
  <c r="AA35" i="8"/>
  <c r="AM46" i="6"/>
  <c r="AA30" i="8"/>
  <c r="AA4" i="8"/>
  <c r="AA36" i="8"/>
  <c r="AM21" i="6"/>
  <c r="AA13" i="8"/>
  <c r="AA77" i="8"/>
  <c r="AM22" i="6"/>
  <c r="AA14" i="8"/>
  <c r="AA26" i="8"/>
  <c r="AA58" i="8"/>
  <c r="AA44" i="8"/>
  <c r="AA68" i="8"/>
  <c r="AA45" i="8"/>
  <c r="AM24" i="6"/>
  <c r="AA7" i="8"/>
  <c r="AA19" i="8"/>
  <c r="AA27" i="8"/>
  <c r="AA39" i="8"/>
  <c r="AA51" i="8"/>
  <c r="AA59" i="8"/>
  <c r="AA71" i="8"/>
  <c r="AA12" i="8"/>
  <c r="AA76" i="8"/>
  <c r="AA20" i="8"/>
  <c r="AA28" i="8"/>
  <c r="AA52" i="8"/>
  <c r="AA60" i="8"/>
  <c r="AA9" i="8"/>
  <c r="AA29" i="8"/>
  <c r="AA41" i="8"/>
  <c r="AA61" i="8"/>
  <c r="AA73" i="8"/>
  <c r="M24" i="8"/>
  <c r="T20" i="8"/>
  <c r="O83" i="8"/>
  <c r="O51" i="8"/>
  <c r="O67" i="8"/>
  <c r="O3" i="8"/>
  <c r="O35" i="8"/>
  <c r="T30" i="8"/>
  <c r="M42" i="8"/>
  <c r="T26" i="8"/>
  <c r="M46" i="8"/>
  <c r="M19" i="8"/>
  <c r="M15" i="8"/>
  <c r="T22" i="8"/>
  <c r="M43" i="8"/>
  <c r="M39" i="8"/>
  <c r="M38" i="8"/>
  <c r="T21" i="8"/>
  <c r="M52" i="8"/>
  <c r="M45" i="8"/>
  <c r="T19" i="8"/>
  <c r="T15" i="8"/>
  <c r="M37" i="8"/>
  <c r="M41" i="8"/>
  <c r="M28" i="8"/>
  <c r="O19" i="8"/>
  <c r="T25" i="8"/>
  <c r="T29" i="8"/>
  <c r="T24" i="8"/>
  <c r="T28" i="8"/>
  <c r="T23" i="8"/>
  <c r="T27" i="8"/>
  <c r="AM37" i="6" l="1"/>
  <c r="AA21" i="8"/>
  <c r="AM40" i="6"/>
  <c r="AA24" i="8"/>
  <c r="AM38" i="6"/>
  <c r="AA22" i="8"/>
  <c r="AM62" i="6"/>
  <c r="AA46" i="8"/>
  <c r="M61" i="8"/>
  <c r="M58" i="8"/>
  <c r="O52" i="8"/>
  <c r="V51" i="8"/>
  <c r="P83" i="8"/>
  <c r="O84" i="8"/>
  <c r="V83" i="8"/>
  <c r="T39" i="8"/>
  <c r="T41" i="8"/>
  <c r="M53" i="8"/>
  <c r="M68" i="8"/>
  <c r="M55" i="8"/>
  <c r="M44" i="8"/>
  <c r="M54" i="8"/>
  <c r="T38" i="8"/>
  <c r="T43" i="8"/>
  <c r="M57" i="8"/>
  <c r="M35" i="8"/>
  <c r="M31" i="8"/>
  <c r="AA15" i="8"/>
  <c r="M62" i="8"/>
  <c r="O20" i="8"/>
  <c r="V19" i="8"/>
  <c r="P19" i="8"/>
  <c r="Q19" i="8" s="1"/>
  <c r="M59" i="8"/>
  <c r="T46" i="8"/>
  <c r="T36" i="8"/>
  <c r="V67" i="8"/>
  <c r="P67" i="8"/>
  <c r="O68" i="8"/>
  <c r="T45" i="8"/>
  <c r="T44" i="8"/>
  <c r="T37" i="8"/>
  <c r="P35" i="8"/>
  <c r="O36" i="8"/>
  <c r="V35" i="8"/>
  <c r="T40" i="8"/>
  <c r="T35" i="8"/>
  <c r="T31" i="8"/>
  <c r="T42" i="8"/>
  <c r="P3" i="8"/>
  <c r="Q3" i="8" s="1"/>
  <c r="O4" i="8"/>
  <c r="V3" i="8"/>
  <c r="M40" i="8"/>
  <c r="AM78" i="6" l="1"/>
  <c r="AA62" i="8"/>
  <c r="AM56" i="6"/>
  <c r="AA40" i="8"/>
  <c r="AM53" i="6"/>
  <c r="AA37" i="8"/>
  <c r="AM54" i="6"/>
  <c r="AA38" i="8"/>
  <c r="T53" i="8"/>
  <c r="T61" i="8"/>
  <c r="M60" i="8"/>
  <c r="T56" i="8"/>
  <c r="V68" i="8"/>
  <c r="P68" i="8"/>
  <c r="Q68" i="8" s="1"/>
  <c r="O69" i="8"/>
  <c r="T62" i="8"/>
  <c r="M47" i="8"/>
  <c r="M51" i="8"/>
  <c r="Q35" i="8"/>
  <c r="T57" i="8"/>
  <c r="AC51" i="8"/>
  <c r="AD51" i="8" s="1"/>
  <c r="W51" i="8"/>
  <c r="M78" i="8"/>
  <c r="M71" i="8"/>
  <c r="P52" i="8"/>
  <c r="Q52" i="8" s="1"/>
  <c r="O53" i="8"/>
  <c r="V52" i="8"/>
  <c r="W35" i="8"/>
  <c r="X35" i="8" s="1"/>
  <c r="AC35" i="8"/>
  <c r="AD35" i="8" s="1"/>
  <c r="AC67" i="8"/>
  <c r="AD67" i="8" s="1"/>
  <c r="W67" i="8"/>
  <c r="M75" i="8"/>
  <c r="T54" i="8"/>
  <c r="M84" i="8"/>
  <c r="M56" i="8"/>
  <c r="AA31" i="8"/>
  <c r="V36" i="8"/>
  <c r="P36" i="8"/>
  <c r="Q36" i="8" s="1"/>
  <c r="O37" i="8"/>
  <c r="T55" i="8"/>
  <c r="W3" i="8"/>
  <c r="X3" i="8" s="1"/>
  <c r="AC3" i="8"/>
  <c r="AD3" i="8" s="1"/>
  <c r="AE3" i="8" s="1"/>
  <c r="T60" i="8"/>
  <c r="T52" i="8"/>
  <c r="W19" i="8"/>
  <c r="X19" i="8" s="1"/>
  <c r="AC19" i="8"/>
  <c r="AD19" i="8" s="1"/>
  <c r="AE19" i="8" s="1"/>
  <c r="M73" i="8"/>
  <c r="M70" i="8"/>
  <c r="AC83" i="8"/>
  <c r="AD83" i="8" s="1"/>
  <c r="W83" i="8"/>
  <c r="M74" i="8"/>
  <c r="T59" i="8"/>
  <c r="T58" i="8"/>
  <c r="P4" i="8"/>
  <c r="Q4" i="8" s="1"/>
  <c r="O5" i="8"/>
  <c r="V4" i="8"/>
  <c r="O21" i="8"/>
  <c r="V20" i="8"/>
  <c r="P20" i="8"/>
  <c r="Q20" i="8" s="1"/>
  <c r="M69" i="8"/>
  <c r="P84" i="8"/>
  <c r="O85" i="8"/>
  <c r="V84" i="8"/>
  <c r="T47" i="8"/>
  <c r="T51" i="8"/>
  <c r="M77" i="8"/>
  <c r="AM72" i="6" l="1"/>
  <c r="AA56" i="8"/>
  <c r="AM94" i="6"/>
  <c r="AA94" i="8" s="1"/>
  <c r="AA78" i="8"/>
  <c r="AM70" i="6"/>
  <c r="AA54" i="8"/>
  <c r="AM69" i="6"/>
  <c r="AA53" i="8"/>
  <c r="AC68" i="8"/>
  <c r="AD68" i="8" s="1"/>
  <c r="W68" i="8"/>
  <c r="M76" i="8"/>
  <c r="O38" i="8"/>
  <c r="V37" i="8"/>
  <c r="P37" i="8"/>
  <c r="Q37" i="8" s="1"/>
  <c r="M85" i="8"/>
  <c r="AC52" i="8"/>
  <c r="AD52" i="8" s="1"/>
  <c r="W52" i="8"/>
  <c r="X52" i="8" s="1"/>
  <c r="M91" i="8"/>
  <c r="T77" i="8"/>
  <c r="W4" i="8"/>
  <c r="X4" i="8" s="1"/>
  <c r="AC4" i="8"/>
  <c r="AD4" i="8" s="1"/>
  <c r="AE4" i="8" s="1"/>
  <c r="P5" i="8"/>
  <c r="Q5" i="8" s="1"/>
  <c r="O6" i="8"/>
  <c r="V5" i="8"/>
  <c r="T63" i="8"/>
  <c r="T67" i="8"/>
  <c r="X51" i="8"/>
  <c r="M93" i="8"/>
  <c r="W20" i="8"/>
  <c r="X20" i="8" s="1"/>
  <c r="AC20" i="8"/>
  <c r="AD20" i="8" s="1"/>
  <c r="AE20" i="8" s="1"/>
  <c r="T74" i="8"/>
  <c r="M86" i="8"/>
  <c r="T68" i="8"/>
  <c r="M87" i="8"/>
  <c r="T78" i="8"/>
  <c r="T72" i="8"/>
  <c r="T69" i="8"/>
  <c r="M90" i="8"/>
  <c r="W36" i="8"/>
  <c r="X36" i="8" s="1"/>
  <c r="AC36" i="8"/>
  <c r="AD36" i="8" s="1"/>
  <c r="T70" i="8"/>
  <c r="AC84" i="8"/>
  <c r="AD84" i="8" s="1"/>
  <c r="W84" i="8"/>
  <c r="P21" i="8"/>
  <c r="Q21" i="8" s="1"/>
  <c r="O22" i="8"/>
  <c r="V21" i="8"/>
  <c r="T75" i="8"/>
  <c r="T71" i="8"/>
  <c r="M72" i="8"/>
  <c r="T73" i="8"/>
  <c r="T76" i="8"/>
  <c r="M94" i="8"/>
  <c r="AE35" i="8"/>
  <c r="AA47" i="8"/>
  <c r="Q51" i="8"/>
  <c r="M63" i="8"/>
  <c r="M67" i="8"/>
  <c r="P53" i="8"/>
  <c r="Q53" i="8" s="1"/>
  <c r="O54" i="8"/>
  <c r="V53" i="8"/>
  <c r="AE36" i="8"/>
  <c r="P85" i="8"/>
  <c r="O86" i="8"/>
  <c r="V85" i="8"/>
  <c r="M89" i="8"/>
  <c r="Q84" i="8"/>
  <c r="V69" i="8"/>
  <c r="P69" i="8"/>
  <c r="Q69" i="8" s="1"/>
  <c r="O70" i="8"/>
  <c r="AM85" i="6" l="1"/>
  <c r="AA85" i="8" s="1"/>
  <c r="AA69" i="8"/>
  <c r="AM88" i="6"/>
  <c r="AA88" i="8" s="1"/>
  <c r="AA72" i="8"/>
  <c r="AM86" i="6"/>
  <c r="AA86" i="8" s="1"/>
  <c r="AA70" i="8"/>
  <c r="AE52" i="8"/>
  <c r="Q67" i="8"/>
  <c r="M83" i="8"/>
  <c r="M79" i="8"/>
  <c r="AC21" i="8"/>
  <c r="AD21" i="8" s="1"/>
  <c r="AE21" i="8" s="1"/>
  <c r="W21" i="8"/>
  <c r="X21" i="8" s="1"/>
  <c r="T86" i="8"/>
  <c r="T85" i="8"/>
  <c r="T90" i="8"/>
  <c r="T79" i="8"/>
  <c r="T83" i="8"/>
  <c r="X67" i="8"/>
  <c r="M92" i="8"/>
  <c r="V70" i="8"/>
  <c r="P70" i="8"/>
  <c r="Q70" i="8" s="1"/>
  <c r="O71" i="8"/>
  <c r="AC85" i="8"/>
  <c r="AD85" i="8" s="1"/>
  <c r="W85" i="8"/>
  <c r="V22" i="8"/>
  <c r="P22" i="8"/>
  <c r="Q22" i="8" s="1"/>
  <c r="O23" i="8"/>
  <c r="T93" i="8"/>
  <c r="M88" i="8"/>
  <c r="T92" i="8"/>
  <c r="AC69" i="8"/>
  <c r="AD69" i="8" s="1"/>
  <c r="W69" i="8"/>
  <c r="X69" i="8" s="1"/>
  <c r="AC5" i="8"/>
  <c r="AD5" i="8" s="1"/>
  <c r="AE5" i="8" s="1"/>
  <c r="W5" i="8"/>
  <c r="X5" i="8" s="1"/>
  <c r="Q85" i="8"/>
  <c r="T87" i="8"/>
  <c r="T94" i="8"/>
  <c r="T84" i="8"/>
  <c r="AE68" i="8"/>
  <c r="X68" i="8"/>
  <c r="O7" i="8"/>
  <c r="P6" i="8"/>
  <c r="Q6" i="8" s="1"/>
  <c r="V6" i="8"/>
  <c r="AC53" i="8"/>
  <c r="AD53" i="8" s="1"/>
  <c r="AE53" i="8" s="1"/>
  <c r="W53" i="8"/>
  <c r="X53" i="8" s="1"/>
  <c r="V86" i="8"/>
  <c r="P86" i="8"/>
  <c r="Q86" i="8" s="1"/>
  <c r="O87" i="8"/>
  <c r="T88" i="8"/>
  <c r="T91" i="8"/>
  <c r="W37" i="8"/>
  <c r="X37" i="8" s="1"/>
  <c r="AC37" i="8"/>
  <c r="AD37" i="8" s="1"/>
  <c r="AE37" i="8" s="1"/>
  <c r="P54" i="8"/>
  <c r="Q54" i="8" s="1"/>
  <c r="O55" i="8"/>
  <c r="V54" i="8"/>
  <c r="T89" i="8"/>
  <c r="AA63" i="8"/>
  <c r="AE51" i="8"/>
  <c r="P38" i="8"/>
  <c r="Q38" i="8" s="1"/>
  <c r="O39" i="8"/>
  <c r="V38" i="8"/>
  <c r="AE69" i="8" l="1"/>
  <c r="V87" i="8"/>
  <c r="P87" i="8"/>
  <c r="Q87" i="8" s="1"/>
  <c r="O88" i="8"/>
  <c r="AC22" i="8"/>
  <c r="AD22" i="8" s="1"/>
  <c r="AE22" i="8" s="1"/>
  <c r="W22" i="8"/>
  <c r="X22" i="8" s="1"/>
  <c r="AC6" i="8"/>
  <c r="AD6" i="8" s="1"/>
  <c r="AE6" i="8" s="1"/>
  <c r="W6" i="8"/>
  <c r="X6" i="8" s="1"/>
  <c r="W38" i="8"/>
  <c r="X38" i="8" s="1"/>
  <c r="AC38" i="8"/>
  <c r="AD38" i="8" s="1"/>
  <c r="AE38" i="8" s="1"/>
  <c r="AC86" i="8"/>
  <c r="AD86" i="8" s="1"/>
  <c r="W86" i="8"/>
  <c r="X86" i="8" s="1"/>
  <c r="AE67" i="8"/>
  <c r="AA79" i="8"/>
  <c r="AE85" i="8"/>
  <c r="X85" i="8"/>
  <c r="O8" i="8"/>
  <c r="P7" i="8"/>
  <c r="Q7" i="8" s="1"/>
  <c r="V7" i="8"/>
  <c r="V71" i="8"/>
  <c r="P71" i="8"/>
  <c r="Q71" i="8" s="1"/>
  <c r="O72" i="8"/>
  <c r="P55" i="8"/>
  <c r="Q55" i="8" s="1"/>
  <c r="O56" i="8"/>
  <c r="V55" i="8"/>
  <c r="M95" i="8"/>
  <c r="Q83" i="8"/>
  <c r="AC70" i="8"/>
  <c r="AD70" i="8" s="1"/>
  <c r="AE70" i="8" s="1"/>
  <c r="W70" i="8"/>
  <c r="X70" i="8" s="1"/>
  <c r="AC54" i="8"/>
  <c r="AD54" i="8" s="1"/>
  <c r="AE54" i="8" s="1"/>
  <c r="W54" i="8"/>
  <c r="X54" i="8" s="1"/>
  <c r="X83" i="8"/>
  <c r="T95" i="8"/>
  <c r="P39" i="8"/>
  <c r="Q39" i="8" s="1"/>
  <c r="O40" i="8"/>
  <c r="V39" i="8"/>
  <c r="AE84" i="8"/>
  <c r="X84" i="8"/>
  <c r="O24" i="8"/>
  <c r="V23" i="8"/>
  <c r="P23" i="8"/>
  <c r="Q23" i="8" s="1"/>
  <c r="AE86" i="8" l="1"/>
  <c r="W23" i="8"/>
  <c r="X23" i="8" s="1"/>
  <c r="AC23" i="8"/>
  <c r="AD23" i="8" s="1"/>
  <c r="AE23" i="8" s="1"/>
  <c r="AC71" i="8"/>
  <c r="AD71" i="8" s="1"/>
  <c r="AE71" i="8" s="1"/>
  <c r="W71" i="8"/>
  <c r="X71" i="8" s="1"/>
  <c r="V72" i="8"/>
  <c r="P72" i="8"/>
  <c r="Q72" i="8" s="1"/>
  <c r="O73" i="8"/>
  <c r="O25" i="8"/>
  <c r="V24" i="8"/>
  <c r="P24" i="8"/>
  <c r="Q24" i="8" s="1"/>
  <c r="AC55" i="8"/>
  <c r="AD55" i="8" s="1"/>
  <c r="AE55" i="8" s="1"/>
  <c r="W55" i="8"/>
  <c r="X55" i="8" s="1"/>
  <c r="O89" i="8"/>
  <c r="V88" i="8"/>
  <c r="P88" i="8"/>
  <c r="Q88" i="8" s="1"/>
  <c r="V40" i="8"/>
  <c r="P40" i="8"/>
  <c r="Q40" i="8" s="1"/>
  <c r="O41" i="8"/>
  <c r="W87" i="8"/>
  <c r="X87" i="8" s="1"/>
  <c r="AC87" i="8"/>
  <c r="AD87" i="8" s="1"/>
  <c r="AE87" i="8" s="1"/>
  <c r="AC7" i="8"/>
  <c r="AD7" i="8" s="1"/>
  <c r="AE7" i="8" s="1"/>
  <c r="W7" i="8"/>
  <c r="X7" i="8" s="1"/>
  <c r="AA95" i="8"/>
  <c r="AE83" i="8"/>
  <c r="W39" i="8"/>
  <c r="X39" i="8" s="1"/>
  <c r="AC39" i="8"/>
  <c r="AD39" i="8" s="1"/>
  <c r="AE39" i="8" s="1"/>
  <c r="P56" i="8"/>
  <c r="Q56" i="8" s="1"/>
  <c r="O57" i="8"/>
  <c r="V56" i="8"/>
  <c r="O9" i="8"/>
  <c r="V8" i="8"/>
  <c r="P8" i="8"/>
  <c r="Q8" i="8" s="1"/>
  <c r="O42" i="8" l="1"/>
  <c r="V41" i="8"/>
  <c r="P41" i="8"/>
  <c r="Q41" i="8" s="1"/>
  <c r="AC56" i="8"/>
  <c r="AD56" i="8" s="1"/>
  <c r="AE56" i="8" s="1"/>
  <c r="W56" i="8"/>
  <c r="X56" i="8" s="1"/>
  <c r="W40" i="8"/>
  <c r="X40" i="8" s="1"/>
  <c r="AC40" i="8"/>
  <c r="AD40" i="8" s="1"/>
  <c r="AE40" i="8" s="1"/>
  <c r="AC72" i="8"/>
  <c r="AD72" i="8" s="1"/>
  <c r="AE72" i="8" s="1"/>
  <c r="W72" i="8"/>
  <c r="X72" i="8" s="1"/>
  <c r="V73" i="8"/>
  <c r="P73" i="8"/>
  <c r="Q73" i="8" s="1"/>
  <c r="O74" i="8"/>
  <c r="P57" i="8"/>
  <c r="Q57" i="8" s="1"/>
  <c r="O58" i="8"/>
  <c r="V57" i="8"/>
  <c r="W88" i="8"/>
  <c r="X88" i="8" s="1"/>
  <c r="AC88" i="8"/>
  <c r="AD88" i="8" s="1"/>
  <c r="AE88" i="8" s="1"/>
  <c r="W24" i="8"/>
  <c r="X24" i="8" s="1"/>
  <c r="AC24" i="8"/>
  <c r="AD24" i="8" s="1"/>
  <c r="AE24" i="8" s="1"/>
  <c r="AC8" i="8"/>
  <c r="AD8" i="8" s="1"/>
  <c r="AE8" i="8" s="1"/>
  <c r="W8" i="8"/>
  <c r="X8" i="8" s="1"/>
  <c r="O10" i="8"/>
  <c r="V9" i="8"/>
  <c r="P9" i="8"/>
  <c r="Q9" i="8" s="1"/>
  <c r="O90" i="8"/>
  <c r="V89" i="8"/>
  <c r="P89" i="8"/>
  <c r="Q89" i="8" s="1"/>
  <c r="P25" i="8"/>
  <c r="Q25" i="8" s="1"/>
  <c r="O26" i="8"/>
  <c r="V25" i="8"/>
  <c r="V74" i="8" l="1"/>
  <c r="P74" i="8"/>
  <c r="Q74" i="8" s="1"/>
  <c r="O75" i="8"/>
  <c r="W89" i="8"/>
  <c r="X89" i="8" s="1"/>
  <c r="AC89" i="8"/>
  <c r="AD89" i="8" s="1"/>
  <c r="AE89" i="8" s="1"/>
  <c r="P90" i="8"/>
  <c r="Q90" i="8" s="1"/>
  <c r="O91" i="8"/>
  <c r="V90" i="8"/>
  <c r="AC73" i="8"/>
  <c r="AD73" i="8" s="1"/>
  <c r="AE73" i="8" s="1"/>
  <c r="W73" i="8"/>
  <c r="X73" i="8" s="1"/>
  <c r="W41" i="8"/>
  <c r="X41" i="8" s="1"/>
  <c r="AC41" i="8"/>
  <c r="AD41" i="8" s="1"/>
  <c r="AE41" i="8" s="1"/>
  <c r="AC25" i="8"/>
  <c r="AD25" i="8" s="1"/>
  <c r="AE25" i="8" s="1"/>
  <c r="W25" i="8"/>
  <c r="X25" i="8" s="1"/>
  <c r="W9" i="8"/>
  <c r="X9" i="8" s="1"/>
  <c r="AC9" i="8"/>
  <c r="AD9" i="8" s="1"/>
  <c r="AE9" i="8" s="1"/>
  <c r="AC57" i="8"/>
  <c r="AD57" i="8" s="1"/>
  <c r="AE57" i="8" s="1"/>
  <c r="W57" i="8"/>
  <c r="X57" i="8" s="1"/>
  <c r="P42" i="8"/>
  <c r="Q42" i="8" s="1"/>
  <c r="O43" i="8"/>
  <c r="V42" i="8"/>
  <c r="V26" i="8"/>
  <c r="P26" i="8"/>
  <c r="Q26" i="8" s="1"/>
  <c r="O27" i="8"/>
  <c r="O11" i="8"/>
  <c r="P10" i="8"/>
  <c r="Q10" i="8" s="1"/>
  <c r="V10" i="8"/>
  <c r="P58" i="8"/>
  <c r="Q58" i="8" s="1"/>
  <c r="O59" i="8"/>
  <c r="V58" i="8"/>
  <c r="AC10" i="8" l="1"/>
  <c r="AD10" i="8" s="1"/>
  <c r="AE10" i="8" s="1"/>
  <c r="W10" i="8"/>
  <c r="X10" i="8" s="1"/>
  <c r="AC58" i="8"/>
  <c r="AD58" i="8" s="1"/>
  <c r="AE58" i="8" s="1"/>
  <c r="W58" i="8"/>
  <c r="X58" i="8" s="1"/>
  <c r="AC26" i="8"/>
  <c r="AD26" i="8" s="1"/>
  <c r="AE26" i="8" s="1"/>
  <c r="W26" i="8"/>
  <c r="X26" i="8" s="1"/>
  <c r="W90" i="8"/>
  <c r="X90" i="8" s="1"/>
  <c r="AC90" i="8"/>
  <c r="AD90" i="8" s="1"/>
  <c r="AE90" i="8" s="1"/>
  <c r="W74" i="8"/>
  <c r="X74" i="8" s="1"/>
  <c r="AC74" i="8"/>
  <c r="AD74" i="8" s="1"/>
  <c r="AE74" i="8" s="1"/>
  <c r="O12" i="8"/>
  <c r="P11" i="8"/>
  <c r="Q11" i="8" s="1"/>
  <c r="V11" i="8"/>
  <c r="O28" i="8"/>
  <c r="V27" i="8"/>
  <c r="P27" i="8"/>
  <c r="Q27" i="8" s="1"/>
  <c r="O76" i="8"/>
  <c r="V75" i="8"/>
  <c r="P75" i="8"/>
  <c r="Q75" i="8" s="1"/>
  <c r="P59" i="8"/>
  <c r="Q59" i="8" s="1"/>
  <c r="O60" i="8"/>
  <c r="V59" i="8"/>
  <c r="AC42" i="8"/>
  <c r="AD42" i="8" s="1"/>
  <c r="AE42" i="8" s="1"/>
  <c r="W42" i="8"/>
  <c r="X42" i="8" s="1"/>
  <c r="P91" i="8"/>
  <c r="Q91" i="8" s="1"/>
  <c r="O92" i="8"/>
  <c r="V91" i="8"/>
  <c r="O44" i="8"/>
  <c r="V43" i="8"/>
  <c r="P43" i="8"/>
  <c r="Q43" i="8" s="1"/>
  <c r="AC11" i="8" l="1"/>
  <c r="AD11" i="8" s="1"/>
  <c r="AE11" i="8" s="1"/>
  <c r="W11" i="8"/>
  <c r="X11" i="8" s="1"/>
  <c r="O29" i="8"/>
  <c r="V28" i="8"/>
  <c r="P28" i="8"/>
  <c r="Q28" i="8" s="1"/>
  <c r="AC91" i="8"/>
  <c r="AD91" i="8" s="1"/>
  <c r="AE91" i="8" s="1"/>
  <c r="W91" i="8"/>
  <c r="X91" i="8" s="1"/>
  <c r="O13" i="8"/>
  <c r="V12" i="8"/>
  <c r="P12" i="8"/>
  <c r="Q12" i="8" s="1"/>
  <c r="W43" i="8"/>
  <c r="X43" i="8" s="1"/>
  <c r="AC43" i="8"/>
  <c r="AD43" i="8" s="1"/>
  <c r="AE43" i="8" s="1"/>
  <c r="O45" i="8"/>
  <c r="V44" i="8"/>
  <c r="P44" i="8"/>
  <c r="Q44" i="8" s="1"/>
  <c r="P92" i="8"/>
  <c r="Q92" i="8" s="1"/>
  <c r="O93" i="8"/>
  <c r="V92" i="8"/>
  <c r="W75" i="8"/>
  <c r="X75" i="8" s="1"/>
  <c r="AC75" i="8"/>
  <c r="AD75" i="8" s="1"/>
  <c r="AE75" i="8" s="1"/>
  <c r="P60" i="8"/>
  <c r="Q60" i="8" s="1"/>
  <c r="O61" i="8"/>
  <c r="V60" i="8"/>
  <c r="O77" i="8"/>
  <c r="V76" i="8"/>
  <c r="P76" i="8"/>
  <c r="Q76" i="8" s="1"/>
  <c r="AC59" i="8"/>
  <c r="AD59" i="8" s="1"/>
  <c r="AE59" i="8" s="1"/>
  <c r="W59" i="8"/>
  <c r="X59" i="8" s="1"/>
  <c r="W27" i="8"/>
  <c r="X27" i="8" s="1"/>
  <c r="AC27" i="8"/>
  <c r="AD27" i="8" s="1"/>
  <c r="AE27" i="8" s="1"/>
  <c r="W44" i="8" l="1"/>
  <c r="X44" i="8" s="1"/>
  <c r="AC44" i="8"/>
  <c r="AD44" i="8" s="1"/>
  <c r="AE44" i="8" s="1"/>
  <c r="O14" i="8"/>
  <c r="V13" i="8"/>
  <c r="P13" i="8"/>
  <c r="Q13" i="8" s="1"/>
  <c r="V45" i="8"/>
  <c r="O46" i="8"/>
  <c r="P45" i="8"/>
  <c r="Q45" i="8" s="1"/>
  <c r="P61" i="8"/>
  <c r="Q61" i="8" s="1"/>
  <c r="O62" i="8"/>
  <c r="V61" i="8"/>
  <c r="P29" i="8"/>
  <c r="Q29" i="8" s="1"/>
  <c r="O30" i="8"/>
  <c r="V29" i="8"/>
  <c r="W76" i="8"/>
  <c r="X76" i="8" s="1"/>
  <c r="AC76" i="8"/>
  <c r="AD76" i="8" s="1"/>
  <c r="AE76" i="8" s="1"/>
  <c r="AC92" i="8"/>
  <c r="AD92" i="8" s="1"/>
  <c r="AE92" i="8" s="1"/>
  <c r="W92" i="8"/>
  <c r="X92" i="8" s="1"/>
  <c r="AC60" i="8"/>
  <c r="AD60" i="8" s="1"/>
  <c r="AE60" i="8" s="1"/>
  <c r="W60" i="8"/>
  <c r="X60" i="8" s="1"/>
  <c r="W28" i="8"/>
  <c r="X28" i="8" s="1"/>
  <c r="AC28" i="8"/>
  <c r="AD28" i="8" s="1"/>
  <c r="AE28" i="8" s="1"/>
  <c r="P77" i="8"/>
  <c r="Q77" i="8" s="1"/>
  <c r="O78" i="8"/>
  <c r="V77" i="8"/>
  <c r="P93" i="8"/>
  <c r="Q93" i="8" s="1"/>
  <c r="O94" i="8"/>
  <c r="V93" i="8"/>
  <c r="AC12" i="8"/>
  <c r="AD12" i="8" s="1"/>
  <c r="AE12" i="8" s="1"/>
  <c r="W12" i="8"/>
  <c r="X12" i="8" s="1"/>
  <c r="P78" i="8" l="1"/>
  <c r="Q78" i="8" s="1"/>
  <c r="Q79" i="8" s="1"/>
  <c r="V78" i="8"/>
  <c r="V46" i="8"/>
  <c r="P46" i="8"/>
  <c r="Q46" i="8" s="1"/>
  <c r="Q47" i="8" s="1"/>
  <c r="AC29" i="8"/>
  <c r="AD29" i="8" s="1"/>
  <c r="AE29" i="8" s="1"/>
  <c r="W29" i="8"/>
  <c r="X29" i="8" s="1"/>
  <c r="W45" i="8"/>
  <c r="X45" i="8" s="1"/>
  <c r="AC45" i="8"/>
  <c r="AD45" i="8" s="1"/>
  <c r="AE45" i="8" s="1"/>
  <c r="AC93" i="8"/>
  <c r="AD93" i="8" s="1"/>
  <c r="AE93" i="8" s="1"/>
  <c r="W93" i="8"/>
  <c r="X93" i="8" s="1"/>
  <c r="W13" i="8"/>
  <c r="X13" i="8" s="1"/>
  <c r="AC13" i="8"/>
  <c r="AD13" i="8" s="1"/>
  <c r="AE13" i="8" s="1"/>
  <c r="W77" i="8"/>
  <c r="X77" i="8" s="1"/>
  <c r="AC77" i="8"/>
  <c r="AD77" i="8" s="1"/>
  <c r="AE77" i="8" s="1"/>
  <c r="V94" i="8"/>
  <c r="P94" i="8"/>
  <c r="Q94" i="8" s="1"/>
  <c r="Q95" i="8" s="1"/>
  <c r="AC61" i="8"/>
  <c r="AD61" i="8" s="1"/>
  <c r="AE61" i="8" s="1"/>
  <c r="W61" i="8"/>
  <c r="X61" i="8" s="1"/>
  <c r="P14" i="8"/>
  <c r="Q14" i="8" s="1"/>
  <c r="Q15" i="8" s="1"/>
  <c r="V14" i="8"/>
  <c r="V30" i="8"/>
  <c r="P30" i="8"/>
  <c r="Q30" i="8" s="1"/>
  <c r="Q31" i="8" s="1"/>
  <c r="P62" i="8"/>
  <c r="Q62" i="8" s="1"/>
  <c r="Q63" i="8" s="1"/>
  <c r="V62" i="8"/>
  <c r="P31" i="8" l="1"/>
  <c r="P63" i="8"/>
  <c r="P95" i="8"/>
  <c r="P47" i="8"/>
  <c r="P15" i="8"/>
  <c r="P79" i="8"/>
  <c r="AC62" i="8"/>
  <c r="AD62" i="8" s="1"/>
  <c r="AE62" i="8" s="1"/>
  <c r="AE63" i="8" s="1"/>
  <c r="W62" i="8"/>
  <c r="X62" i="8" s="1"/>
  <c r="X63" i="8" s="1"/>
  <c r="AC30" i="8"/>
  <c r="AD30" i="8" s="1"/>
  <c r="AE30" i="8" s="1"/>
  <c r="AE31" i="8" s="1"/>
  <c r="W30" i="8"/>
  <c r="X30" i="8" s="1"/>
  <c r="X31" i="8" s="1"/>
  <c r="W46" i="8"/>
  <c r="X46" i="8" s="1"/>
  <c r="X47" i="8" s="1"/>
  <c r="AC46" i="8"/>
  <c r="AD46" i="8" s="1"/>
  <c r="AE46" i="8" s="1"/>
  <c r="AE47" i="8" s="1"/>
  <c r="AC94" i="8"/>
  <c r="AD94" i="8" s="1"/>
  <c r="AE94" i="8" s="1"/>
  <c r="AE95" i="8" s="1"/>
  <c r="W94" i="8"/>
  <c r="X94" i="8" s="1"/>
  <c r="X95" i="8" s="1"/>
  <c r="AC14" i="8"/>
  <c r="AD14" i="8" s="1"/>
  <c r="AE14" i="8" s="1"/>
  <c r="AE15" i="8" s="1"/>
  <c r="W14" i="8"/>
  <c r="X14" i="8" s="1"/>
  <c r="X15" i="8" s="1"/>
  <c r="AC78" i="8"/>
  <c r="AD78" i="8" s="1"/>
  <c r="AE78" i="8" s="1"/>
  <c r="AE79" i="8" s="1"/>
  <c r="W78" i="8"/>
  <c r="X78" i="8" s="1"/>
  <c r="X79" i="8" s="1"/>
  <c r="W31" i="8" l="1"/>
  <c r="W79" i="8"/>
  <c r="AD79" i="8"/>
  <c r="W63" i="8"/>
  <c r="AD15" i="8"/>
  <c r="AD63" i="8"/>
  <c r="AD95" i="8"/>
  <c r="W15" i="8"/>
  <c r="AD47" i="8"/>
  <c r="AD31" i="8"/>
  <c r="W95" i="8"/>
  <c r="W47" i="8"/>
  <c r="N94" i="6"/>
  <c r="N93" i="6"/>
  <c r="N92" i="6"/>
  <c r="N91" i="6"/>
  <c r="N90" i="6"/>
  <c r="N89" i="6"/>
  <c r="N88" i="6"/>
  <c r="N87" i="6"/>
  <c r="N86" i="6"/>
  <c r="AA86" i="6" s="1"/>
  <c r="AN86" i="6" s="1"/>
  <c r="N85" i="6"/>
  <c r="N84" i="6"/>
  <c r="AA84" i="6" s="1"/>
  <c r="N83" i="6"/>
  <c r="AA83" i="6" s="1"/>
  <c r="AN83" i="6" s="1"/>
  <c r="N78" i="6"/>
  <c r="N77" i="6"/>
  <c r="N76" i="6"/>
  <c r="N75" i="6"/>
  <c r="N74" i="6"/>
  <c r="N73" i="6"/>
  <c r="AA73" i="6" s="1"/>
  <c r="N72" i="6"/>
  <c r="AA72" i="6" s="1"/>
  <c r="N71" i="6"/>
  <c r="AA71" i="6" s="1"/>
  <c r="N70" i="6"/>
  <c r="AA70" i="6" s="1"/>
  <c r="N69" i="6"/>
  <c r="N68" i="6"/>
  <c r="N67" i="6"/>
  <c r="AA67" i="6" s="1"/>
  <c r="AN67" i="6" s="1"/>
  <c r="P94" i="6"/>
  <c r="AC94" i="6" s="1"/>
  <c r="AP94" i="6" s="1"/>
  <c r="AA94" i="6"/>
  <c r="P93" i="6"/>
  <c r="AC93" i="6" s="1"/>
  <c r="AP93" i="6" s="1"/>
  <c r="AA93" i="6"/>
  <c r="AN93" i="6" s="1"/>
  <c r="AA92" i="6"/>
  <c r="AN92" i="6" s="1"/>
  <c r="P92" i="6"/>
  <c r="AC92" i="6" s="1"/>
  <c r="AP92" i="6" s="1"/>
  <c r="AA91" i="6"/>
  <c r="AN91" i="6" s="1"/>
  <c r="P91" i="6"/>
  <c r="AC91" i="6" s="1"/>
  <c r="AP91" i="6" s="1"/>
  <c r="AA90" i="6"/>
  <c r="AN90" i="6" s="1"/>
  <c r="P90" i="6"/>
  <c r="AC90" i="6" s="1"/>
  <c r="AP90" i="6" s="1"/>
  <c r="AA89" i="6"/>
  <c r="AN89" i="6" s="1"/>
  <c r="P89" i="6"/>
  <c r="AC89" i="6" s="1"/>
  <c r="AP89" i="6" s="1"/>
  <c r="AC88" i="6"/>
  <c r="AP88" i="6" s="1"/>
  <c r="P88" i="6"/>
  <c r="AA88" i="6"/>
  <c r="P87" i="6"/>
  <c r="AC87" i="6" s="1"/>
  <c r="AP87" i="6" s="1"/>
  <c r="P86" i="6"/>
  <c r="AC86" i="6" s="1"/>
  <c r="AP86" i="6" s="1"/>
  <c r="P85" i="6"/>
  <c r="AC85" i="6" s="1"/>
  <c r="AP85" i="6" s="1"/>
  <c r="AA85" i="6"/>
  <c r="AN85" i="6" s="1"/>
  <c r="P84" i="6"/>
  <c r="AC84" i="6" s="1"/>
  <c r="AP84" i="6" s="1"/>
  <c r="T83" i="6"/>
  <c r="AG83" i="6" s="1"/>
  <c r="Q83" i="6"/>
  <c r="AD83" i="6" s="1"/>
  <c r="P83" i="6"/>
  <c r="AC83" i="6" s="1"/>
  <c r="AP83" i="6" s="1"/>
  <c r="P78" i="6"/>
  <c r="AC78" i="6" s="1"/>
  <c r="AP78" i="6" s="1"/>
  <c r="AA78" i="6"/>
  <c r="AN78" i="6" s="1"/>
  <c r="P77" i="6"/>
  <c r="AC77" i="6" s="1"/>
  <c r="AP77" i="6" s="1"/>
  <c r="AA77" i="6"/>
  <c r="AN77" i="6" s="1"/>
  <c r="AA76" i="6"/>
  <c r="AN76" i="6" s="1"/>
  <c r="P76" i="6"/>
  <c r="AC76" i="6" s="1"/>
  <c r="AP76" i="6" s="1"/>
  <c r="AA75" i="6"/>
  <c r="AN75" i="6" s="1"/>
  <c r="P75" i="6"/>
  <c r="AC75" i="6" s="1"/>
  <c r="AP75" i="6" s="1"/>
  <c r="AC74" i="6"/>
  <c r="AP74" i="6" s="1"/>
  <c r="AA74" i="6"/>
  <c r="AN74" i="6" s="1"/>
  <c r="P74" i="6"/>
  <c r="P73" i="6"/>
  <c r="AC73" i="6" s="1"/>
  <c r="AP73" i="6" s="1"/>
  <c r="AC72" i="6"/>
  <c r="AP72" i="6" s="1"/>
  <c r="P72" i="6"/>
  <c r="P71" i="6"/>
  <c r="AC71" i="6" s="1"/>
  <c r="AP71" i="6" s="1"/>
  <c r="P70" i="6"/>
  <c r="AC70" i="6" s="1"/>
  <c r="AP70" i="6" s="1"/>
  <c r="P69" i="6"/>
  <c r="AC69" i="6" s="1"/>
  <c r="AP69" i="6" s="1"/>
  <c r="AA69" i="6"/>
  <c r="AN69" i="6" s="1"/>
  <c r="AA68" i="6"/>
  <c r="AN68" i="6" s="1"/>
  <c r="Q68" i="6"/>
  <c r="AD68" i="6" s="1"/>
  <c r="P68" i="6"/>
  <c r="AC68" i="6" s="1"/>
  <c r="AP68" i="6" s="1"/>
  <c r="T67" i="6"/>
  <c r="AG67" i="6" s="1"/>
  <c r="Q67" i="6"/>
  <c r="AD67" i="6" s="1"/>
  <c r="P67" i="6"/>
  <c r="R67" i="6" s="1"/>
  <c r="N62" i="6"/>
  <c r="N61" i="6"/>
  <c r="N60" i="6"/>
  <c r="N59" i="6"/>
  <c r="N58" i="6"/>
  <c r="N57" i="6"/>
  <c r="AA57" i="6" s="1"/>
  <c r="N56" i="6"/>
  <c r="N55" i="6"/>
  <c r="AA55" i="6" s="1"/>
  <c r="N54" i="6"/>
  <c r="AA54" i="6" s="1"/>
  <c r="AN54" i="6" s="1"/>
  <c r="N53" i="6"/>
  <c r="N52" i="6"/>
  <c r="AA52" i="6" s="1"/>
  <c r="N51" i="6"/>
  <c r="P62" i="6"/>
  <c r="AC62" i="6" s="1"/>
  <c r="AP62" i="6" s="1"/>
  <c r="AA62" i="6"/>
  <c r="P61" i="6"/>
  <c r="AC61" i="6" s="1"/>
  <c r="AP61" i="6" s="1"/>
  <c r="AA61" i="6"/>
  <c r="AN61" i="6" s="1"/>
  <c r="AA60" i="6"/>
  <c r="AN60" i="6" s="1"/>
  <c r="P60" i="6"/>
  <c r="AC60" i="6" s="1"/>
  <c r="AP60" i="6" s="1"/>
  <c r="AA59" i="6"/>
  <c r="AN59" i="6" s="1"/>
  <c r="P59" i="6"/>
  <c r="AC59" i="6" s="1"/>
  <c r="AP59" i="6" s="1"/>
  <c r="AA58" i="6"/>
  <c r="AN58" i="6" s="1"/>
  <c r="P58" i="6"/>
  <c r="AC58" i="6" s="1"/>
  <c r="AP58" i="6" s="1"/>
  <c r="AC57" i="6"/>
  <c r="AP57" i="6" s="1"/>
  <c r="P57" i="6"/>
  <c r="AC56" i="6"/>
  <c r="AP56" i="6" s="1"/>
  <c r="P56" i="6"/>
  <c r="AA56" i="6"/>
  <c r="AC55" i="6"/>
  <c r="AP55" i="6" s="1"/>
  <c r="P55" i="6"/>
  <c r="P54" i="6"/>
  <c r="AC54" i="6" s="1"/>
  <c r="AP54" i="6" s="1"/>
  <c r="P53" i="6"/>
  <c r="AC53" i="6" s="1"/>
  <c r="AP53" i="6" s="1"/>
  <c r="AA53" i="6"/>
  <c r="AN53" i="6" s="1"/>
  <c r="AT52" i="6"/>
  <c r="AT53" i="6" s="1"/>
  <c r="AG52" i="6"/>
  <c r="AG53" i="6" s="1"/>
  <c r="P52" i="6"/>
  <c r="AC52" i="6" s="1"/>
  <c r="AP52" i="6" s="1"/>
  <c r="AT51" i="6"/>
  <c r="AG51" i="6"/>
  <c r="T51" i="6"/>
  <c r="T52" i="6" s="1"/>
  <c r="Q51" i="6"/>
  <c r="AD51" i="6" s="1"/>
  <c r="P51" i="6"/>
  <c r="AC51" i="6" s="1"/>
  <c r="AP51" i="6" s="1"/>
  <c r="N36" i="6"/>
  <c r="AA36" i="6" s="1"/>
  <c r="AN36" i="6" s="1"/>
  <c r="N46" i="6"/>
  <c r="N45" i="6"/>
  <c r="N44" i="6"/>
  <c r="N43" i="6"/>
  <c r="N42" i="6"/>
  <c r="N41" i="6"/>
  <c r="N40" i="6"/>
  <c r="N39" i="6"/>
  <c r="AA39" i="6" s="1"/>
  <c r="N38" i="6"/>
  <c r="AA38" i="6" s="1"/>
  <c r="AN38" i="6" s="1"/>
  <c r="N37" i="6"/>
  <c r="AA37" i="6" s="1"/>
  <c r="AN37" i="6" s="1"/>
  <c r="T35" i="6"/>
  <c r="AG35" i="6" s="1"/>
  <c r="Q35" i="6"/>
  <c r="AD35" i="6" s="1"/>
  <c r="P35" i="6"/>
  <c r="AC35" i="6" s="1"/>
  <c r="AP35" i="6" s="1"/>
  <c r="N35" i="6"/>
  <c r="P46" i="6"/>
  <c r="AC46" i="6" s="1"/>
  <c r="AP46" i="6" s="1"/>
  <c r="AA46" i="6"/>
  <c r="P45" i="6"/>
  <c r="AC45" i="6" s="1"/>
  <c r="AP45" i="6" s="1"/>
  <c r="P44" i="6"/>
  <c r="AC44" i="6" s="1"/>
  <c r="AP44" i="6" s="1"/>
  <c r="AA43" i="6"/>
  <c r="AN43" i="6" s="1"/>
  <c r="P43" i="6"/>
  <c r="AC43" i="6" s="1"/>
  <c r="AP43" i="6" s="1"/>
  <c r="AA42" i="6"/>
  <c r="AN42" i="6" s="1"/>
  <c r="P42" i="6"/>
  <c r="AC42" i="6" s="1"/>
  <c r="AP42" i="6" s="1"/>
  <c r="AC41" i="6"/>
  <c r="AP41" i="6" s="1"/>
  <c r="AA41" i="6"/>
  <c r="AN41" i="6" s="1"/>
  <c r="P41" i="6"/>
  <c r="AC40" i="6"/>
  <c r="AP40" i="6" s="1"/>
  <c r="AA40" i="6"/>
  <c r="P40" i="6"/>
  <c r="P39" i="6"/>
  <c r="AC39" i="6" s="1"/>
  <c r="AP39" i="6" s="1"/>
  <c r="P38" i="6"/>
  <c r="AC38" i="6" s="1"/>
  <c r="AP38" i="6" s="1"/>
  <c r="P37" i="6"/>
  <c r="AC37" i="6" s="1"/>
  <c r="AP37" i="6" s="1"/>
  <c r="P36" i="6"/>
  <c r="AC36" i="6" s="1"/>
  <c r="AP36" i="6" s="1"/>
  <c r="AT19" i="6"/>
  <c r="AT20" i="6" s="1"/>
  <c r="AN30" i="6"/>
  <c r="AN29" i="6"/>
  <c r="AN28" i="6"/>
  <c r="AN27" i="6"/>
  <c r="AN26" i="6"/>
  <c r="AN25" i="6"/>
  <c r="AN24" i="6"/>
  <c r="AN23" i="6"/>
  <c r="AN22" i="6"/>
  <c r="AN21" i="6"/>
  <c r="AN20" i="6"/>
  <c r="AN19" i="6"/>
  <c r="AG19" i="6"/>
  <c r="AG20" i="6"/>
  <c r="AA30" i="6"/>
  <c r="AA29" i="6"/>
  <c r="AA28" i="6"/>
  <c r="AA27" i="6"/>
  <c r="AA26" i="6"/>
  <c r="AA25" i="6"/>
  <c r="AA24" i="6"/>
  <c r="AA23" i="6"/>
  <c r="AA22" i="6"/>
  <c r="AA21" i="6"/>
  <c r="AA20" i="6"/>
  <c r="AA19" i="6"/>
  <c r="AT4" i="6"/>
  <c r="AT5" i="6" s="1"/>
  <c r="AT3" i="6"/>
  <c r="AN14" i="6"/>
  <c r="AN13" i="6"/>
  <c r="AN12" i="6"/>
  <c r="AN11" i="6"/>
  <c r="AN10" i="6"/>
  <c r="AN9" i="6"/>
  <c r="AN8" i="6"/>
  <c r="AN7" i="6"/>
  <c r="AN6" i="6"/>
  <c r="AN5" i="6"/>
  <c r="AN4" i="6"/>
  <c r="AN3" i="6"/>
  <c r="AG3" i="6"/>
  <c r="AG4" i="6" s="1"/>
  <c r="AA14" i="6"/>
  <c r="AA13" i="6"/>
  <c r="AA12" i="6"/>
  <c r="AA11" i="6"/>
  <c r="AA10" i="6"/>
  <c r="AA9" i="6"/>
  <c r="AA8" i="6"/>
  <c r="AA7" i="6"/>
  <c r="AA6" i="6"/>
  <c r="AA5" i="6"/>
  <c r="AA4" i="6"/>
  <c r="AA3" i="6"/>
  <c r="T19" i="6"/>
  <c r="N30" i="6"/>
  <c r="N29" i="6"/>
  <c r="N28" i="6"/>
  <c r="N27" i="6"/>
  <c r="N26" i="6"/>
  <c r="N25" i="6"/>
  <c r="N24" i="6"/>
  <c r="N23" i="6"/>
  <c r="N22" i="6"/>
  <c r="N21" i="6"/>
  <c r="N20" i="6"/>
  <c r="N19" i="6"/>
  <c r="AY73" i="6"/>
  <c r="AY72" i="6"/>
  <c r="AY71" i="6"/>
  <c r="AY70" i="6"/>
  <c r="AY69" i="6"/>
  <c r="AY68" i="6"/>
  <c r="AY67" i="6"/>
  <c r="AY66" i="6"/>
  <c r="AY65" i="6"/>
  <c r="AY64" i="6"/>
  <c r="AY63" i="6"/>
  <c r="AY62" i="6"/>
  <c r="AY61" i="6"/>
  <c r="AY60" i="6"/>
  <c r="AY59" i="6"/>
  <c r="AY58" i="6"/>
  <c r="AY57" i="6"/>
  <c r="AY56" i="6"/>
  <c r="AY55" i="6"/>
  <c r="AY54" i="6"/>
  <c r="AY53" i="6"/>
  <c r="AY52" i="6"/>
  <c r="AY51" i="6"/>
  <c r="AY50" i="6"/>
  <c r="AY49" i="6"/>
  <c r="AY48" i="6"/>
  <c r="AY47" i="6"/>
  <c r="AY46" i="6"/>
  <c r="AY45" i="6"/>
  <c r="AY44" i="6"/>
  <c r="AY43" i="6"/>
  <c r="AY42" i="6"/>
  <c r="AY41" i="6"/>
  <c r="AY40" i="6"/>
  <c r="AY39" i="6"/>
  <c r="AY38" i="6"/>
  <c r="AY37" i="6"/>
  <c r="AY36" i="6"/>
  <c r="AY35" i="6"/>
  <c r="AY34" i="6"/>
  <c r="AY33" i="6"/>
  <c r="AY32" i="6"/>
  <c r="AY31" i="6"/>
  <c r="AY30" i="6"/>
  <c r="AY29" i="6"/>
  <c r="AY28" i="6"/>
  <c r="AY27" i="6"/>
  <c r="AY26" i="6"/>
  <c r="AY25" i="6"/>
  <c r="AY24" i="6"/>
  <c r="AY23" i="6"/>
  <c r="AY22" i="6"/>
  <c r="AY21" i="6"/>
  <c r="AY20" i="6"/>
  <c r="AY19" i="6"/>
  <c r="AY18" i="6"/>
  <c r="AY17" i="6"/>
  <c r="AY16" i="6"/>
  <c r="AY15" i="6"/>
  <c r="AY14" i="6"/>
  <c r="AY13" i="6"/>
  <c r="AY12" i="6"/>
  <c r="AY11" i="6"/>
  <c r="AY10" i="6"/>
  <c r="AY9" i="6"/>
  <c r="AY8" i="6"/>
  <c r="AY7" i="6"/>
  <c r="AY6" i="6"/>
  <c r="AY5" i="6"/>
  <c r="AY4" i="6"/>
  <c r="AY3" i="6"/>
  <c r="AY2" i="6"/>
  <c r="N9" i="6" s="1"/>
  <c r="BG16" i="1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BG15" i="1"/>
  <c r="BG14" i="1"/>
  <c r="BG13" i="1"/>
  <c r="BG12" i="1"/>
  <c r="BG11" i="1"/>
  <c r="BG10" i="1"/>
  <c r="BG9" i="1"/>
  <c r="BG8" i="1"/>
  <c r="BG7" i="1"/>
  <c r="BG6" i="1"/>
  <c r="BG5" i="1"/>
  <c r="BC4" i="1" a="1"/>
  <c r="BC4" i="1" s="1"/>
  <c r="BK11" i="1"/>
  <c r="BK8" i="1" s="1"/>
  <c r="BL8" i="1" s="1"/>
  <c r="F4" i="2"/>
  <c r="F5" i="2"/>
  <c r="F7" i="2"/>
  <c r="F8" i="2"/>
  <c r="F10" i="2"/>
  <c r="F11" i="2"/>
  <c r="F13" i="2"/>
  <c r="F14" i="2"/>
  <c r="AZ6" i="1"/>
  <c r="AZ5" i="1"/>
  <c r="AZ4" i="1"/>
  <c r="AN84" i="6" l="1"/>
  <c r="AA87" i="6"/>
  <c r="AN73" i="6"/>
  <c r="AT83" i="6"/>
  <c r="AT84" i="6" s="1"/>
  <c r="AG84" i="6"/>
  <c r="AN88" i="6"/>
  <c r="AN87" i="6"/>
  <c r="AN94" i="6"/>
  <c r="AQ83" i="6"/>
  <c r="AR83" i="6" s="1"/>
  <c r="AE83" i="6"/>
  <c r="R83" i="6"/>
  <c r="Q84" i="6"/>
  <c r="T84" i="6"/>
  <c r="AN71" i="6"/>
  <c r="AQ67" i="6"/>
  <c r="AR67" i="6" s="1"/>
  <c r="AE67" i="6"/>
  <c r="AQ68" i="6"/>
  <c r="AR68" i="6" s="1"/>
  <c r="AE68" i="6"/>
  <c r="AN70" i="6"/>
  <c r="AT67" i="6"/>
  <c r="AT68" i="6" s="1"/>
  <c r="AG68" i="6"/>
  <c r="AN72" i="6"/>
  <c r="AC67" i="6"/>
  <c r="AP67" i="6" s="1"/>
  <c r="R68" i="6"/>
  <c r="Q69" i="6"/>
  <c r="T68" i="6"/>
  <c r="AN57" i="6"/>
  <c r="AN52" i="6"/>
  <c r="AA51" i="6"/>
  <c r="AN51" i="6" s="1"/>
  <c r="AQ51" i="6"/>
  <c r="AR51" i="6" s="1"/>
  <c r="AE51" i="6"/>
  <c r="T53" i="6"/>
  <c r="AN55" i="6"/>
  <c r="AG54" i="6"/>
  <c r="AN62" i="6"/>
  <c r="AT54" i="6"/>
  <c r="AN56" i="6"/>
  <c r="R51" i="6"/>
  <c r="Q52" i="6"/>
  <c r="AA44" i="6"/>
  <c r="AN44" i="6" s="1"/>
  <c r="AN40" i="6"/>
  <c r="AA35" i="6"/>
  <c r="AN35" i="6" s="1"/>
  <c r="AN39" i="6"/>
  <c r="AG36" i="6"/>
  <c r="AT35" i="6"/>
  <c r="AT36" i="6" s="1"/>
  <c r="AN46" i="6"/>
  <c r="AQ35" i="6"/>
  <c r="AR35" i="6" s="1"/>
  <c r="AE35" i="6"/>
  <c r="R35" i="6"/>
  <c r="Q36" i="6"/>
  <c r="AA45" i="6"/>
  <c r="AN45" i="6" s="1"/>
  <c r="T36" i="6"/>
  <c r="AT21" i="6"/>
  <c r="AG21" i="6"/>
  <c r="AT6" i="6"/>
  <c r="AG5" i="6"/>
  <c r="T20" i="6"/>
  <c r="N10" i="6"/>
  <c r="N6" i="6"/>
  <c r="N7" i="6"/>
  <c r="N8" i="6"/>
  <c r="N14" i="6"/>
  <c r="T3" i="6"/>
  <c r="T4" i="6" s="1"/>
  <c r="T5" i="6"/>
  <c r="N11" i="6"/>
  <c r="N4" i="6"/>
  <c r="N12" i="6"/>
  <c r="N5" i="6"/>
  <c r="N13" i="6"/>
  <c r="N3" i="6"/>
  <c r="Q3" i="6"/>
  <c r="P3" i="6"/>
  <c r="P23" i="6"/>
  <c r="AC23" i="6" s="1"/>
  <c r="AP23" i="6" s="1"/>
  <c r="P25" i="6"/>
  <c r="AC25" i="6" s="1"/>
  <c r="AP25" i="6" s="1"/>
  <c r="P24" i="6"/>
  <c r="AC24" i="6" s="1"/>
  <c r="AP24" i="6" s="1"/>
  <c r="P26" i="6"/>
  <c r="AC26" i="6" s="1"/>
  <c r="AP26" i="6" s="1"/>
  <c r="Q19" i="6"/>
  <c r="Q20" i="6" s="1"/>
  <c r="Q21" i="6" s="1"/>
  <c r="P19" i="6"/>
  <c r="AC19" i="6" s="1"/>
  <c r="AP19" i="6" s="1"/>
  <c r="P27" i="6"/>
  <c r="AC27" i="6" s="1"/>
  <c r="AP27" i="6" s="1"/>
  <c r="P20" i="6"/>
  <c r="AC20" i="6" s="1"/>
  <c r="AP20" i="6" s="1"/>
  <c r="P28" i="6"/>
  <c r="AC28" i="6" s="1"/>
  <c r="AP28" i="6" s="1"/>
  <c r="P21" i="6"/>
  <c r="AC21" i="6" s="1"/>
  <c r="AP21" i="6" s="1"/>
  <c r="P29" i="6"/>
  <c r="AC29" i="6" s="1"/>
  <c r="AP29" i="6" s="1"/>
  <c r="P22" i="6"/>
  <c r="AC22" i="6" s="1"/>
  <c r="AP22" i="6" s="1"/>
  <c r="P30" i="6"/>
  <c r="AC30" i="6" s="1"/>
  <c r="AP30" i="6" s="1"/>
  <c r="BN4" i="1"/>
  <c r="AD20" i="6"/>
  <c r="AQ20" i="6" s="1"/>
  <c r="BK14" i="1"/>
  <c r="BL14" i="1" s="1"/>
  <c r="BK18" i="1"/>
  <c r="BL18" i="1" s="1"/>
  <c r="P13" i="6"/>
  <c r="P6" i="6"/>
  <c r="P10" i="6"/>
  <c r="P14" i="6"/>
  <c r="P7" i="6"/>
  <c r="P11" i="6"/>
  <c r="P4" i="6"/>
  <c r="P8" i="6"/>
  <c r="P12" i="6"/>
  <c r="P5" i="6"/>
  <c r="P9" i="6"/>
  <c r="BK26" i="1"/>
  <c r="BL26" i="1" s="1"/>
  <c r="BK5" i="1"/>
  <c r="BL5" i="1" s="1"/>
  <c r="BK13" i="1"/>
  <c r="BL13" i="1" s="1"/>
  <c r="BK19" i="1"/>
  <c r="BL19" i="1" s="1"/>
  <c r="BK21" i="1"/>
  <c r="BL21" i="1" s="1"/>
  <c r="BK22" i="1"/>
  <c r="BL22" i="1" s="1"/>
  <c r="BK12" i="1"/>
  <c r="BL12" i="1" s="1"/>
  <c r="BK20" i="1"/>
  <c r="BL20" i="1" s="1"/>
  <c r="BK15" i="1"/>
  <c r="BL15" i="1" s="1"/>
  <c r="BK23" i="1"/>
  <c r="BL23" i="1" s="1"/>
  <c r="BK16" i="1"/>
  <c r="BL16" i="1" s="1"/>
  <c r="BK24" i="1"/>
  <c r="BL24" i="1" s="1"/>
  <c r="BK17" i="1"/>
  <c r="BL17" i="1" s="1"/>
  <c r="BK25" i="1"/>
  <c r="BL25" i="1" s="1"/>
  <c r="BK9" i="1"/>
  <c r="BL9" i="1" s="1"/>
  <c r="BK10" i="1"/>
  <c r="BL10" i="1" s="1"/>
  <c r="BK6" i="1"/>
  <c r="BL6" i="1" s="1"/>
  <c r="BK7" i="1"/>
  <c r="BL7" i="1" s="1"/>
  <c r="F3" i="2"/>
  <c r="J22" i="1" s="1"/>
  <c r="F6" i="2"/>
  <c r="F9" i="2"/>
  <c r="F18" i="2" s="1"/>
  <c r="F12" i="2"/>
  <c r="F19" i="2" s="1"/>
  <c r="O31" i="1" l="1"/>
  <c r="S29" i="1"/>
  <c r="K29" i="1"/>
  <c r="H22" i="1"/>
  <c r="R20" i="1"/>
  <c r="S20" i="1"/>
  <c r="K31" i="1"/>
  <c r="J31" i="1"/>
  <c r="I20" i="1"/>
  <c r="P31" i="1"/>
  <c r="H31" i="1"/>
  <c r="L29" i="1"/>
  <c r="I22" i="1"/>
  <c r="N31" i="1"/>
  <c r="R29" i="1"/>
  <c r="J29" i="1"/>
  <c r="S22" i="1"/>
  <c r="Q20" i="1"/>
  <c r="N20" i="1"/>
  <c r="M31" i="1"/>
  <c r="Q29" i="1"/>
  <c r="I29" i="1"/>
  <c r="R22" i="1"/>
  <c r="P20" i="1"/>
  <c r="M20" i="1"/>
  <c r="O29" i="1"/>
  <c r="L22" i="1"/>
  <c r="K20" i="1"/>
  <c r="R31" i="1"/>
  <c r="Q31" i="1"/>
  <c r="M29" i="1"/>
  <c r="N22" i="1"/>
  <c r="M22" i="1"/>
  <c r="L31" i="1"/>
  <c r="P29" i="1"/>
  <c r="H29" i="1"/>
  <c r="Q22" i="1"/>
  <c r="O20" i="1"/>
  <c r="L20" i="1"/>
  <c r="S31" i="1"/>
  <c r="P22" i="1"/>
  <c r="J20" i="1"/>
  <c r="N29" i="1"/>
  <c r="O22" i="1"/>
  <c r="K22" i="1"/>
  <c r="I31" i="1"/>
  <c r="H20" i="1"/>
  <c r="T20" i="1"/>
  <c r="T22" i="1"/>
  <c r="T29" i="1"/>
  <c r="T31" i="1"/>
  <c r="Q85" i="6"/>
  <c r="AD84" i="6"/>
  <c r="R84" i="6"/>
  <c r="T85" i="6"/>
  <c r="AG85" i="6"/>
  <c r="AT85" i="6"/>
  <c r="T69" i="6"/>
  <c r="AG69" i="6"/>
  <c r="AT69" i="6"/>
  <c r="AD69" i="6"/>
  <c r="Q70" i="6"/>
  <c r="R69" i="6"/>
  <c r="AG55" i="6"/>
  <c r="AT55" i="6"/>
  <c r="T54" i="6"/>
  <c r="AD52" i="6"/>
  <c r="Q53" i="6"/>
  <c r="R52" i="6"/>
  <c r="AT37" i="6"/>
  <c r="AG37" i="6"/>
  <c r="T37" i="6"/>
  <c r="AD36" i="6"/>
  <c r="Q37" i="6"/>
  <c r="R36" i="6"/>
  <c r="AT22" i="6"/>
  <c r="AG22" i="6"/>
  <c r="AT7" i="6"/>
  <c r="AG6" i="6"/>
  <c r="T21" i="6"/>
  <c r="T6" i="6"/>
  <c r="AD19" i="6"/>
  <c r="AQ19" i="6" s="1"/>
  <c r="AR19" i="6" s="1"/>
  <c r="R20" i="6"/>
  <c r="R19" i="6"/>
  <c r="AC7" i="6"/>
  <c r="AP7" i="6" s="1"/>
  <c r="AE20" i="6"/>
  <c r="AC8" i="6"/>
  <c r="AP8" i="6" s="1"/>
  <c r="AC6" i="6"/>
  <c r="AP6" i="6" s="1"/>
  <c r="R3" i="6"/>
  <c r="AC3" i="6"/>
  <c r="AP3" i="6" s="1"/>
  <c r="AR20" i="6"/>
  <c r="AD3" i="6"/>
  <c r="Q4" i="6"/>
  <c r="R4" i="6" s="1"/>
  <c r="AC11" i="6"/>
  <c r="AP11" i="6" s="1"/>
  <c r="AC13" i="6"/>
  <c r="AP13" i="6" s="1"/>
  <c r="AC4" i="6"/>
  <c r="AP4" i="6" s="1"/>
  <c r="AC9" i="6"/>
  <c r="AP9" i="6" s="1"/>
  <c r="AC12" i="6"/>
  <c r="AP12" i="6" s="1"/>
  <c r="AC5" i="6"/>
  <c r="AP5" i="6" s="1"/>
  <c r="AC14" i="6"/>
  <c r="AP14" i="6" s="1"/>
  <c r="AC10" i="6"/>
  <c r="AP10" i="6" s="1"/>
  <c r="Q22" i="6"/>
  <c r="AD21" i="6"/>
  <c r="R21" i="6"/>
  <c r="G8" i="2"/>
  <c r="BE6" i="1"/>
  <c r="BE10" i="1"/>
  <c r="BE13" i="1"/>
  <c r="BE15" i="1"/>
  <c r="BE5" i="1"/>
  <c r="BE9" i="1"/>
  <c r="BE8" i="1"/>
  <c r="BE12" i="1"/>
  <c r="BE14" i="1"/>
  <c r="BE16" i="1"/>
  <c r="BE7" i="1"/>
  <c r="BE11" i="1"/>
  <c r="BF6" i="1"/>
  <c r="BF10" i="1"/>
  <c r="BF13" i="1"/>
  <c r="BF15" i="1"/>
  <c r="BF5" i="1"/>
  <c r="BF9" i="1"/>
  <c r="BF8" i="1"/>
  <c r="BF12" i="1"/>
  <c r="BF14" i="1"/>
  <c r="BF16" i="1"/>
  <c r="BF7" i="1"/>
  <c r="BF11" i="1"/>
  <c r="BL11" i="1"/>
  <c r="G18" i="2"/>
  <c r="N6" i="1"/>
  <c r="N32" i="1" s="1"/>
  <c r="Q6" i="1"/>
  <c r="M6" i="1"/>
  <c r="L6" i="1"/>
  <c r="I6" i="1"/>
  <c r="I32" i="1" s="1"/>
  <c r="S6" i="1"/>
  <c r="K6" i="1"/>
  <c r="R6" i="1"/>
  <c r="J6" i="1"/>
  <c r="P6" i="1"/>
  <c r="O6" i="1"/>
  <c r="H6" i="1"/>
  <c r="G19" i="2"/>
  <c r="N8" i="1"/>
  <c r="M8" i="1"/>
  <c r="I8" i="1"/>
  <c r="L8" i="1"/>
  <c r="S8" i="1"/>
  <c r="K8" i="1"/>
  <c r="R8" i="1"/>
  <c r="J8" i="1"/>
  <c r="Q8" i="1"/>
  <c r="P8" i="1"/>
  <c r="O8" i="1"/>
  <c r="H8" i="1"/>
  <c r="G7" i="2"/>
  <c r="G12" i="2"/>
  <c r="BA6" i="1" s="1"/>
  <c r="G10" i="2"/>
  <c r="G6" i="2"/>
  <c r="BA4" i="1" s="1"/>
  <c r="G14" i="2"/>
  <c r="G11" i="2"/>
  <c r="G13" i="2"/>
  <c r="G9" i="2"/>
  <c r="F15" i="2"/>
  <c r="E15" i="2" s="1"/>
  <c r="L32" i="1" l="1"/>
  <c r="O32" i="1"/>
  <c r="M32" i="1"/>
  <c r="P32" i="1"/>
  <c r="Q32" i="1"/>
  <c r="J32" i="1"/>
  <c r="R32" i="1"/>
  <c r="K32" i="1"/>
  <c r="S32" i="1"/>
  <c r="J23" i="1"/>
  <c r="R23" i="1"/>
  <c r="O23" i="1"/>
  <c r="M23" i="1"/>
  <c r="P23" i="1"/>
  <c r="Q23" i="1"/>
  <c r="N23" i="1"/>
  <c r="K23" i="1"/>
  <c r="S23" i="1"/>
  <c r="I23" i="1"/>
  <c r="H23" i="1"/>
  <c r="H32" i="1"/>
  <c r="L23" i="1"/>
  <c r="AQ84" i="6"/>
  <c r="AR84" i="6" s="1"/>
  <c r="AE84" i="6"/>
  <c r="AD85" i="6"/>
  <c r="Q86" i="6"/>
  <c r="R85" i="6"/>
  <c r="AT86" i="6"/>
  <c r="AG86" i="6"/>
  <c r="T86" i="6"/>
  <c r="AD70" i="6"/>
  <c r="Q71" i="6"/>
  <c r="R70" i="6"/>
  <c r="T70" i="6"/>
  <c r="AG70" i="6"/>
  <c r="AT70" i="6"/>
  <c r="AE69" i="6"/>
  <c r="AQ69" i="6"/>
  <c r="AR69" i="6" s="1"/>
  <c r="AD53" i="6"/>
  <c r="Q54" i="6"/>
  <c r="R53" i="6"/>
  <c r="AE52" i="6"/>
  <c r="AQ52" i="6"/>
  <c r="AR52" i="6" s="1"/>
  <c r="AG56" i="6"/>
  <c r="T55" i="6"/>
  <c r="AT56" i="6"/>
  <c r="AT38" i="6"/>
  <c r="AE36" i="6"/>
  <c r="AQ36" i="6"/>
  <c r="AR36" i="6" s="1"/>
  <c r="AG38" i="6"/>
  <c r="AD37" i="6"/>
  <c r="Q38" i="6"/>
  <c r="R37" i="6"/>
  <c r="T38" i="6"/>
  <c r="AT23" i="6"/>
  <c r="AG23" i="6"/>
  <c r="AT8" i="6"/>
  <c r="AG7" i="6"/>
  <c r="T22" i="6"/>
  <c r="AE19" i="6"/>
  <c r="T7" i="6"/>
  <c r="AQ3" i="6"/>
  <c r="AR3" i="6" s="1"/>
  <c r="AE3" i="6"/>
  <c r="AD4" i="6"/>
  <c r="Q5" i="6"/>
  <c r="AE21" i="6"/>
  <c r="AQ21" i="6"/>
  <c r="AR21" i="6" s="1"/>
  <c r="AD22" i="6"/>
  <c r="Q23" i="6"/>
  <c r="R22" i="6"/>
  <c r="M10" i="6"/>
  <c r="O10" i="6" s="1"/>
  <c r="M8" i="6"/>
  <c r="O8" i="6" s="1"/>
  <c r="M11" i="6"/>
  <c r="O11" i="6" s="1"/>
  <c r="M12" i="6"/>
  <c r="O12" i="6" s="1"/>
  <c r="M9" i="6"/>
  <c r="O9" i="6" s="1"/>
  <c r="M6" i="6"/>
  <c r="O6" i="6" s="1"/>
  <c r="M5" i="6"/>
  <c r="O5" i="6" s="1"/>
  <c r="M13" i="6"/>
  <c r="O13" i="6" s="1"/>
  <c r="M14" i="6"/>
  <c r="O14" i="6" s="1"/>
  <c r="M4" i="6"/>
  <c r="O4" i="6" s="1"/>
  <c r="S4" i="6" s="1"/>
  <c r="U4" i="6" s="1"/>
  <c r="V4" i="6" s="1"/>
  <c r="W4" i="6" s="1"/>
  <c r="M7" i="6"/>
  <c r="O7" i="6" s="1"/>
  <c r="M3" i="6"/>
  <c r="O3" i="6" s="1"/>
  <c r="G15" i="2"/>
  <c r="BA7" i="1" s="1"/>
  <c r="AZ7" i="1"/>
  <c r="T6" i="1"/>
  <c r="E19" i="2"/>
  <c r="S9" i="1"/>
  <c r="K9" i="1"/>
  <c r="R9" i="1"/>
  <c r="J9" i="1"/>
  <c r="Q9" i="1"/>
  <c r="I9" i="1"/>
  <c r="N9" i="1"/>
  <c r="P9" i="1"/>
  <c r="O9" i="1"/>
  <c r="M9" i="1"/>
  <c r="H9" i="1"/>
  <c r="L9" i="1"/>
  <c r="S7" i="1"/>
  <c r="K7" i="1"/>
  <c r="N7" i="1"/>
  <c r="R7" i="1"/>
  <c r="J7" i="1"/>
  <c r="Q7" i="1"/>
  <c r="I7" i="1"/>
  <c r="P7" i="1"/>
  <c r="O7" i="1"/>
  <c r="M7" i="1"/>
  <c r="H7" i="1"/>
  <c r="L7" i="1"/>
  <c r="T8" i="1"/>
  <c r="T9" i="1" s="1"/>
  <c r="BA5" i="1"/>
  <c r="E18" i="2"/>
  <c r="S3" i="6" l="1"/>
  <c r="U3" i="6" s="1"/>
  <c r="V3" i="6" s="1"/>
  <c r="W3" i="6" s="1"/>
  <c r="AG87" i="6"/>
  <c r="AT87" i="6"/>
  <c r="AE85" i="6"/>
  <c r="AQ85" i="6"/>
  <c r="AR85" i="6" s="1"/>
  <c r="T87" i="6"/>
  <c r="AD86" i="6"/>
  <c r="Q87" i="6"/>
  <c r="R86" i="6"/>
  <c r="AG71" i="6"/>
  <c r="T71" i="6"/>
  <c r="AE70" i="6"/>
  <c r="AQ70" i="6"/>
  <c r="AR70" i="6" s="1"/>
  <c r="AD71" i="6"/>
  <c r="Q72" i="6"/>
  <c r="R71" i="6"/>
  <c r="AT71" i="6"/>
  <c r="AG57" i="6"/>
  <c r="AD54" i="6"/>
  <c r="Q55" i="6"/>
  <c r="R54" i="6"/>
  <c r="AE53" i="6"/>
  <c r="AQ53" i="6"/>
  <c r="AR53" i="6" s="1"/>
  <c r="T56" i="6"/>
  <c r="AT57" i="6"/>
  <c r="AT39" i="6"/>
  <c r="AG39" i="6"/>
  <c r="AE37" i="6"/>
  <c r="AQ37" i="6"/>
  <c r="AR37" i="6" s="1"/>
  <c r="AD38" i="6"/>
  <c r="Q39" i="6"/>
  <c r="R38" i="6"/>
  <c r="T39" i="6"/>
  <c r="AT24" i="6"/>
  <c r="AG24" i="6"/>
  <c r="AT9" i="6"/>
  <c r="AG8" i="6"/>
  <c r="T23" i="6"/>
  <c r="T8" i="6"/>
  <c r="Q6" i="6"/>
  <c r="AD5" i="6"/>
  <c r="R5" i="6"/>
  <c r="S5" i="6" s="1"/>
  <c r="U5" i="6" s="1"/>
  <c r="V5" i="6" s="1"/>
  <c r="AQ4" i="6"/>
  <c r="AR4" i="6" s="1"/>
  <c r="AE4" i="6"/>
  <c r="AE22" i="6"/>
  <c r="AQ22" i="6"/>
  <c r="AR22" i="6" s="1"/>
  <c r="M25" i="6"/>
  <c r="M28" i="6"/>
  <c r="M23" i="6"/>
  <c r="M27" i="6"/>
  <c r="M22" i="6"/>
  <c r="M19" i="6"/>
  <c r="M20" i="6"/>
  <c r="M24" i="6"/>
  <c r="M30" i="6"/>
  <c r="M26" i="6"/>
  <c r="M29" i="6"/>
  <c r="M21" i="6"/>
  <c r="AD23" i="6"/>
  <c r="Q24" i="6"/>
  <c r="R23" i="6"/>
  <c r="M15" i="6"/>
  <c r="T7" i="1"/>
  <c r="M42" i="6" l="1"/>
  <c r="O26" i="6"/>
  <c r="S26" i="6" s="1"/>
  <c r="M41" i="6"/>
  <c r="O25" i="6"/>
  <c r="S25" i="6" s="1"/>
  <c r="M44" i="6"/>
  <c r="O28" i="6"/>
  <c r="S28" i="6" s="1"/>
  <c r="M35" i="6"/>
  <c r="O19" i="6"/>
  <c r="S19" i="6" s="1"/>
  <c r="U19" i="6" s="1"/>
  <c r="V19" i="6" s="1"/>
  <c r="W19" i="6" s="1"/>
  <c r="M46" i="6"/>
  <c r="O30" i="6"/>
  <c r="S30" i="6" s="1"/>
  <c r="M36" i="6"/>
  <c r="O20" i="6"/>
  <c r="S20" i="6" s="1"/>
  <c r="U20" i="6" s="1"/>
  <c r="V20" i="6" s="1"/>
  <c r="W20" i="6" s="1"/>
  <c r="M38" i="6"/>
  <c r="O22" i="6"/>
  <c r="S22" i="6" s="1"/>
  <c r="U22" i="6" s="1"/>
  <c r="V22" i="6" s="1"/>
  <c r="W22" i="6" s="1"/>
  <c r="O24" i="6"/>
  <c r="S24" i="6" s="1"/>
  <c r="M40" i="6"/>
  <c r="M37" i="6"/>
  <c r="O21" i="6"/>
  <c r="S21" i="6" s="1"/>
  <c r="U21" i="6" s="1"/>
  <c r="V21" i="6" s="1"/>
  <c r="W21" i="6" s="1"/>
  <c r="O27" i="6"/>
  <c r="S27" i="6" s="1"/>
  <c r="M43" i="6"/>
  <c r="M45" i="6"/>
  <c r="O29" i="6"/>
  <c r="S29" i="6" s="1"/>
  <c r="M39" i="6"/>
  <c r="O23" i="6"/>
  <c r="S23" i="6" s="1"/>
  <c r="U23" i="6" s="1"/>
  <c r="V23" i="6" s="1"/>
  <c r="AG88" i="6"/>
  <c r="AD87" i="6"/>
  <c r="Q88" i="6"/>
  <c r="R87" i="6"/>
  <c r="AQ86" i="6"/>
  <c r="AR86" i="6" s="1"/>
  <c r="AE86" i="6"/>
  <c r="T88" i="6"/>
  <c r="AT88" i="6"/>
  <c r="T72" i="6"/>
  <c r="AT72" i="6"/>
  <c r="Q73" i="6"/>
  <c r="R72" i="6"/>
  <c r="AD72" i="6"/>
  <c r="AQ71" i="6"/>
  <c r="AR71" i="6" s="1"/>
  <c r="AE71" i="6"/>
  <c r="AG72" i="6"/>
  <c r="AE54" i="6"/>
  <c r="AQ54" i="6"/>
  <c r="AR54" i="6" s="1"/>
  <c r="AT58" i="6"/>
  <c r="T57" i="6"/>
  <c r="AG58" i="6"/>
  <c r="AD55" i="6"/>
  <c r="Q56" i="6"/>
  <c r="R55" i="6"/>
  <c r="AG40" i="6"/>
  <c r="T40" i="6"/>
  <c r="Q40" i="6"/>
  <c r="R39" i="6"/>
  <c r="AD39" i="6"/>
  <c r="AE38" i="6"/>
  <c r="AQ38" i="6"/>
  <c r="AR38" i="6" s="1"/>
  <c r="AT40" i="6"/>
  <c r="AT25" i="6"/>
  <c r="AG25" i="6"/>
  <c r="AT10" i="6"/>
  <c r="AG9" i="6"/>
  <c r="T24" i="6"/>
  <c r="W5" i="6"/>
  <c r="T9" i="6"/>
  <c r="AE23" i="6"/>
  <c r="AQ23" i="6"/>
  <c r="AR23" i="6" s="1"/>
  <c r="AQ5" i="6"/>
  <c r="AR5" i="6" s="1"/>
  <c r="AE5" i="6"/>
  <c r="Q7" i="6"/>
  <c r="AD6" i="6"/>
  <c r="R6" i="6"/>
  <c r="S6" i="6" s="1"/>
  <c r="U6" i="6" s="1"/>
  <c r="V6" i="6" s="1"/>
  <c r="W6" i="6" s="1"/>
  <c r="M31" i="6"/>
  <c r="AD24" i="6"/>
  <c r="Q25" i="6"/>
  <c r="R24" i="6"/>
  <c r="M60" i="6" l="1"/>
  <c r="O44" i="6"/>
  <c r="M61" i="6"/>
  <c r="O45" i="6"/>
  <c r="M52" i="6"/>
  <c r="O36" i="6"/>
  <c r="S36" i="6" s="1"/>
  <c r="U36" i="6" s="1"/>
  <c r="V36" i="6" s="1"/>
  <c r="W36" i="6" s="1"/>
  <c r="M51" i="6"/>
  <c r="O35" i="6"/>
  <c r="S35" i="6" s="1"/>
  <c r="U35" i="6" s="1"/>
  <c r="V35" i="6" s="1"/>
  <c r="W35" i="6" s="1"/>
  <c r="O46" i="6"/>
  <c r="M62" i="6"/>
  <c r="M53" i="6"/>
  <c r="O37" i="6"/>
  <c r="S37" i="6" s="1"/>
  <c r="U37" i="6" s="1"/>
  <c r="V37" i="6" s="1"/>
  <c r="W37" i="6" s="1"/>
  <c r="O41" i="6"/>
  <c r="M57" i="6"/>
  <c r="M55" i="6"/>
  <c r="O39" i="6"/>
  <c r="S39" i="6" s="1"/>
  <c r="U39" i="6" s="1"/>
  <c r="V39" i="6" s="1"/>
  <c r="M47" i="6"/>
  <c r="M54" i="6"/>
  <c r="O38" i="6"/>
  <c r="S38" i="6" s="1"/>
  <c r="U38" i="6" s="1"/>
  <c r="V38" i="6" s="1"/>
  <c r="W38" i="6" s="1"/>
  <c r="O43" i="6"/>
  <c r="M59" i="6"/>
  <c r="O40" i="6"/>
  <c r="M56" i="6"/>
  <c r="O42" i="6"/>
  <c r="M58" i="6"/>
  <c r="Q89" i="6"/>
  <c r="R88" i="6"/>
  <c r="AD88" i="6"/>
  <c r="AT89" i="6"/>
  <c r="AG89" i="6"/>
  <c r="T89" i="6"/>
  <c r="AQ87" i="6"/>
  <c r="AR87" i="6" s="1"/>
  <c r="AE87" i="6"/>
  <c r="AT73" i="6"/>
  <c r="Q74" i="6"/>
  <c r="R73" i="6"/>
  <c r="AD73" i="6"/>
  <c r="AG73" i="6"/>
  <c r="AQ72" i="6"/>
  <c r="AR72" i="6" s="1"/>
  <c r="AE72" i="6"/>
  <c r="T73" i="6"/>
  <c r="AT59" i="6"/>
  <c r="AQ55" i="6"/>
  <c r="AR55" i="6" s="1"/>
  <c r="AE55" i="6"/>
  <c r="AG59" i="6"/>
  <c r="T58" i="6"/>
  <c r="Q57" i="6"/>
  <c r="R56" i="6"/>
  <c r="AD56" i="6"/>
  <c r="Q41" i="6"/>
  <c r="R40" i="6"/>
  <c r="AD40" i="6"/>
  <c r="AG41" i="6"/>
  <c r="AQ39" i="6"/>
  <c r="AR39" i="6" s="1"/>
  <c r="AE39" i="6"/>
  <c r="AT41" i="6"/>
  <c r="T41" i="6"/>
  <c r="AT26" i="6"/>
  <c r="AG26" i="6"/>
  <c r="AT11" i="6"/>
  <c r="AG10" i="6"/>
  <c r="T25" i="6"/>
  <c r="U24" i="6"/>
  <c r="V24" i="6" s="1"/>
  <c r="W24" i="6" s="1"/>
  <c r="W23" i="6"/>
  <c r="T10" i="6"/>
  <c r="AE24" i="6"/>
  <c r="AQ24" i="6"/>
  <c r="AR24" i="6" s="1"/>
  <c r="AQ6" i="6"/>
  <c r="AR6" i="6" s="1"/>
  <c r="AE6" i="6"/>
  <c r="Q8" i="6"/>
  <c r="AD7" i="6"/>
  <c r="R7" i="6"/>
  <c r="S7" i="6" s="1"/>
  <c r="U7" i="6" s="1"/>
  <c r="V7" i="6" s="1"/>
  <c r="W7" i="6" s="1"/>
  <c r="AD25" i="6"/>
  <c r="Q26" i="6"/>
  <c r="R25" i="6"/>
  <c r="S40" i="6" l="1"/>
  <c r="U40" i="6" s="1"/>
  <c r="V40" i="6" s="1"/>
  <c r="W40" i="6" s="1"/>
  <c r="M73" i="6"/>
  <c r="O57" i="6"/>
  <c r="O52" i="6"/>
  <c r="S52" i="6" s="1"/>
  <c r="U52" i="6" s="1"/>
  <c r="V52" i="6" s="1"/>
  <c r="W52" i="6" s="1"/>
  <c r="M68" i="6"/>
  <c r="O56" i="6"/>
  <c r="S56" i="6" s="1"/>
  <c r="U56" i="6" s="1"/>
  <c r="V56" i="6" s="1"/>
  <c r="W56" i="6" s="1"/>
  <c r="M72" i="6"/>
  <c r="M70" i="6"/>
  <c r="O54" i="6"/>
  <c r="S54" i="6" s="1"/>
  <c r="U54" i="6" s="1"/>
  <c r="V54" i="6" s="1"/>
  <c r="W54" i="6" s="1"/>
  <c r="M77" i="6"/>
  <c r="O61" i="6"/>
  <c r="M71" i="6"/>
  <c r="O55" i="6"/>
  <c r="S55" i="6" s="1"/>
  <c r="U55" i="6" s="1"/>
  <c r="V55" i="6" s="1"/>
  <c r="W55" i="6" s="1"/>
  <c r="M69" i="6"/>
  <c r="O53" i="6"/>
  <c r="S53" i="6" s="1"/>
  <c r="U53" i="6" s="1"/>
  <c r="V53" i="6" s="1"/>
  <c r="W53" i="6" s="1"/>
  <c r="M63" i="6"/>
  <c r="M67" i="6"/>
  <c r="O51" i="6"/>
  <c r="S51" i="6" s="1"/>
  <c r="U51" i="6" s="1"/>
  <c r="V51" i="6" s="1"/>
  <c r="W51" i="6" s="1"/>
  <c r="O62" i="6"/>
  <c r="M78" i="6"/>
  <c r="M74" i="6"/>
  <c r="O58" i="6"/>
  <c r="M75" i="6"/>
  <c r="O59" i="6"/>
  <c r="O60" i="6"/>
  <c r="M76" i="6"/>
  <c r="AT90" i="6"/>
  <c r="AG90" i="6"/>
  <c r="Q90" i="6"/>
  <c r="AD89" i="6"/>
  <c r="R89" i="6"/>
  <c r="T90" i="6"/>
  <c r="AQ88" i="6"/>
  <c r="AR88" i="6" s="1"/>
  <c r="AE88" i="6"/>
  <c r="AQ73" i="6"/>
  <c r="AR73" i="6" s="1"/>
  <c r="AE73" i="6"/>
  <c r="AG74" i="6"/>
  <c r="AD74" i="6"/>
  <c r="Q75" i="6"/>
  <c r="R74" i="6"/>
  <c r="T74" i="6"/>
  <c r="AT74" i="6"/>
  <c r="T59" i="6"/>
  <c r="AG60" i="6"/>
  <c r="AQ56" i="6"/>
  <c r="AR56" i="6" s="1"/>
  <c r="AE56" i="6"/>
  <c r="Q58" i="6"/>
  <c r="AD57" i="6"/>
  <c r="R57" i="6"/>
  <c r="AT60" i="6"/>
  <c r="AT42" i="6"/>
  <c r="AG42" i="6"/>
  <c r="R41" i="6"/>
  <c r="S41" i="6" s="1"/>
  <c r="U41" i="6" s="1"/>
  <c r="V41" i="6" s="1"/>
  <c r="W41" i="6" s="1"/>
  <c r="Q42" i="6"/>
  <c r="AD41" i="6"/>
  <c r="W39" i="6"/>
  <c r="T42" i="6"/>
  <c r="AQ40" i="6"/>
  <c r="AR40" i="6" s="1"/>
  <c r="AE40" i="6"/>
  <c r="AT27" i="6"/>
  <c r="AG27" i="6"/>
  <c r="AT12" i="6"/>
  <c r="AG11" i="6"/>
  <c r="U25" i="6"/>
  <c r="V25" i="6" s="1"/>
  <c r="T26" i="6"/>
  <c r="T11" i="6"/>
  <c r="AQ7" i="6"/>
  <c r="AR7" i="6" s="1"/>
  <c r="AE7" i="6"/>
  <c r="Q9" i="6"/>
  <c r="AD8" i="6"/>
  <c r="R8" i="6"/>
  <c r="S8" i="6" s="1"/>
  <c r="U8" i="6" s="1"/>
  <c r="V8" i="6" s="1"/>
  <c r="W8" i="6" s="1"/>
  <c r="AE25" i="6"/>
  <c r="AQ25" i="6"/>
  <c r="AR25" i="6" s="1"/>
  <c r="AD26" i="6"/>
  <c r="Q27" i="6"/>
  <c r="R26" i="6"/>
  <c r="S57" i="6" l="1"/>
  <c r="U57" i="6" s="1"/>
  <c r="V57" i="6" s="1"/>
  <c r="W57" i="6" s="1"/>
  <c r="M90" i="6"/>
  <c r="O90" i="6" s="1"/>
  <c r="O74" i="6"/>
  <c r="S74" i="6" s="1"/>
  <c r="U74" i="6" s="1"/>
  <c r="V74" i="6" s="1"/>
  <c r="W74" i="6" s="1"/>
  <c r="M88" i="6"/>
  <c r="O88" i="6" s="1"/>
  <c r="S88" i="6" s="1"/>
  <c r="U88" i="6" s="1"/>
  <c r="V88" i="6" s="1"/>
  <c r="W88" i="6" s="1"/>
  <c r="O72" i="6"/>
  <c r="S72" i="6" s="1"/>
  <c r="U72" i="6" s="1"/>
  <c r="V72" i="6" s="1"/>
  <c r="W72" i="6" s="1"/>
  <c r="O78" i="6"/>
  <c r="M94" i="6"/>
  <c r="O76" i="6"/>
  <c r="M92" i="6"/>
  <c r="O92" i="6" s="1"/>
  <c r="O68" i="6"/>
  <c r="S68" i="6" s="1"/>
  <c r="U68" i="6" s="1"/>
  <c r="V68" i="6" s="1"/>
  <c r="W68" i="6" s="1"/>
  <c r="M84" i="6"/>
  <c r="O84" i="6" s="1"/>
  <c r="S84" i="6" s="1"/>
  <c r="U84" i="6" s="1"/>
  <c r="V84" i="6" s="1"/>
  <c r="W84" i="6" s="1"/>
  <c r="M86" i="6"/>
  <c r="O86" i="6" s="1"/>
  <c r="S86" i="6" s="1"/>
  <c r="U86" i="6" s="1"/>
  <c r="V86" i="6" s="1"/>
  <c r="W86" i="6" s="1"/>
  <c r="O70" i="6"/>
  <c r="S70" i="6" s="1"/>
  <c r="U70" i="6" s="1"/>
  <c r="V70" i="6" s="1"/>
  <c r="W70" i="6" s="1"/>
  <c r="M93" i="6"/>
  <c r="O93" i="6" s="1"/>
  <c r="O77" i="6"/>
  <c r="M85" i="6"/>
  <c r="O85" i="6" s="1"/>
  <c r="S85" i="6" s="1"/>
  <c r="U85" i="6" s="1"/>
  <c r="V85" i="6" s="1"/>
  <c r="W85" i="6" s="1"/>
  <c r="O69" i="6"/>
  <c r="S69" i="6" s="1"/>
  <c r="U69" i="6" s="1"/>
  <c r="V69" i="6" s="1"/>
  <c r="W69" i="6" s="1"/>
  <c r="O75" i="6"/>
  <c r="M91" i="6"/>
  <c r="O91" i="6" s="1"/>
  <c r="M79" i="6"/>
  <c r="M83" i="6"/>
  <c r="O67" i="6"/>
  <c r="S67" i="6" s="1"/>
  <c r="U67" i="6" s="1"/>
  <c r="V67" i="6" s="1"/>
  <c r="W67" i="6" s="1"/>
  <c r="M87" i="6"/>
  <c r="O71" i="6"/>
  <c r="S71" i="6" s="1"/>
  <c r="U71" i="6" s="1"/>
  <c r="V71" i="6" s="1"/>
  <c r="W71" i="6" s="1"/>
  <c r="O73" i="6"/>
  <c r="S73" i="6" s="1"/>
  <c r="U73" i="6" s="1"/>
  <c r="V73" i="6" s="1"/>
  <c r="W73" i="6" s="1"/>
  <c r="M89" i="6"/>
  <c r="O89" i="6" s="1"/>
  <c r="S89" i="6" s="1"/>
  <c r="U89" i="6" s="1"/>
  <c r="V89" i="6" s="1"/>
  <c r="W89" i="6" s="1"/>
  <c r="AQ89" i="6"/>
  <c r="AR89" i="6" s="1"/>
  <c r="AE89" i="6"/>
  <c r="AG91" i="6"/>
  <c r="AD90" i="6"/>
  <c r="Q91" i="6"/>
  <c r="R90" i="6"/>
  <c r="T91" i="6"/>
  <c r="AT91" i="6"/>
  <c r="T75" i="6"/>
  <c r="AG75" i="6"/>
  <c r="Q76" i="6"/>
  <c r="R75" i="6"/>
  <c r="AD75" i="6"/>
  <c r="AQ74" i="6"/>
  <c r="AR74" i="6" s="1"/>
  <c r="AE74" i="6"/>
  <c r="AT75" i="6"/>
  <c r="AT61" i="6"/>
  <c r="AG61" i="6"/>
  <c r="AQ57" i="6"/>
  <c r="AR57" i="6" s="1"/>
  <c r="AE57" i="6"/>
  <c r="AD58" i="6"/>
  <c r="Q59" i="6"/>
  <c r="R58" i="6"/>
  <c r="S58" i="6" s="1"/>
  <c r="U58" i="6" s="1"/>
  <c r="V58" i="6" s="1"/>
  <c r="W58" i="6" s="1"/>
  <c r="T60" i="6"/>
  <c r="AT43" i="6"/>
  <c r="AQ41" i="6"/>
  <c r="AR41" i="6" s="1"/>
  <c r="AE41" i="6"/>
  <c r="R42" i="6"/>
  <c r="S42" i="6" s="1"/>
  <c r="U42" i="6" s="1"/>
  <c r="V42" i="6" s="1"/>
  <c r="AD42" i="6"/>
  <c r="Q43" i="6"/>
  <c r="AG43" i="6"/>
  <c r="T43" i="6"/>
  <c r="AT28" i="6"/>
  <c r="AG28" i="6"/>
  <c r="AT13" i="6"/>
  <c r="AG12" i="6"/>
  <c r="T27" i="6"/>
  <c r="U26" i="6"/>
  <c r="V26" i="6" s="1"/>
  <c r="W26" i="6" s="1"/>
  <c r="W25" i="6"/>
  <c r="T12" i="6"/>
  <c r="AQ8" i="6"/>
  <c r="AR8" i="6" s="1"/>
  <c r="AE8" i="6"/>
  <c r="Q10" i="6"/>
  <c r="AD9" i="6"/>
  <c r="R9" i="6"/>
  <c r="S9" i="6" s="1"/>
  <c r="U9" i="6" s="1"/>
  <c r="V9" i="6" s="1"/>
  <c r="AE26" i="6"/>
  <c r="AQ26" i="6"/>
  <c r="AR26" i="6" s="1"/>
  <c r="AD27" i="6"/>
  <c r="Q28" i="6"/>
  <c r="R27" i="6"/>
  <c r="S90" i="6" l="1"/>
  <c r="U90" i="6" s="1"/>
  <c r="V90" i="6" s="1"/>
  <c r="W90" i="6" s="1"/>
  <c r="S75" i="6"/>
  <c r="U75" i="6" s="1"/>
  <c r="V75" i="6" s="1"/>
  <c r="W75" i="6" s="1"/>
  <c r="AO6" i="6"/>
  <c r="AS6" i="6" s="1"/>
  <c r="AU6" i="6" s="1"/>
  <c r="AV6" i="6" s="1"/>
  <c r="AW6" i="6" s="1"/>
  <c r="M95" i="6"/>
  <c r="O83" i="6"/>
  <c r="S83" i="6" s="1"/>
  <c r="U83" i="6" s="1"/>
  <c r="V83" i="6" s="1"/>
  <c r="W83" i="6" s="1"/>
  <c r="O94" i="6"/>
  <c r="O87" i="6"/>
  <c r="S87" i="6" s="1"/>
  <c r="U87" i="6" s="1"/>
  <c r="V87" i="6" s="1"/>
  <c r="W87" i="6" s="1"/>
  <c r="AG92" i="6"/>
  <c r="AQ90" i="6"/>
  <c r="AR90" i="6" s="1"/>
  <c r="AE90" i="6"/>
  <c r="AT92" i="6"/>
  <c r="T92" i="6"/>
  <c r="AD91" i="6"/>
  <c r="Q92" i="6"/>
  <c r="R91" i="6"/>
  <c r="S91" i="6" s="1"/>
  <c r="U91" i="6" s="1"/>
  <c r="V91" i="6" s="1"/>
  <c r="AD76" i="6"/>
  <c r="Q77" i="6"/>
  <c r="R76" i="6"/>
  <c r="S76" i="6" s="1"/>
  <c r="AG76" i="6"/>
  <c r="T76" i="6"/>
  <c r="AT76" i="6"/>
  <c r="AQ75" i="6"/>
  <c r="AR75" i="6" s="1"/>
  <c r="AE75" i="6"/>
  <c r="T61" i="6"/>
  <c r="AD59" i="6"/>
  <c r="Q60" i="6"/>
  <c r="R59" i="6"/>
  <c r="S59" i="6" s="1"/>
  <c r="U59" i="6" s="1"/>
  <c r="V59" i="6" s="1"/>
  <c r="W59" i="6" s="1"/>
  <c r="AQ58" i="6"/>
  <c r="AR58" i="6" s="1"/>
  <c r="AE58" i="6"/>
  <c r="AG62" i="6"/>
  <c r="AT62" i="6"/>
  <c r="W42" i="6"/>
  <c r="AG44" i="6"/>
  <c r="AD43" i="6"/>
  <c r="Q44" i="6"/>
  <c r="R43" i="6"/>
  <c r="S43" i="6" s="1"/>
  <c r="U43" i="6" s="1"/>
  <c r="V43" i="6" s="1"/>
  <c r="W43" i="6" s="1"/>
  <c r="AT44" i="6"/>
  <c r="AQ42" i="6"/>
  <c r="AR42" i="6" s="1"/>
  <c r="AE42" i="6"/>
  <c r="T44" i="6"/>
  <c r="AT29" i="6"/>
  <c r="AG29" i="6"/>
  <c r="AT14" i="6"/>
  <c r="AG13" i="6"/>
  <c r="U27" i="6"/>
  <c r="V27" i="6" s="1"/>
  <c r="W27" i="6" s="1"/>
  <c r="T28" i="6"/>
  <c r="W9" i="6"/>
  <c r="T13" i="6"/>
  <c r="AE27" i="6"/>
  <c r="AQ27" i="6"/>
  <c r="AR27" i="6" s="1"/>
  <c r="Q11" i="6"/>
  <c r="AD10" i="6"/>
  <c r="R10" i="6"/>
  <c r="S10" i="6" s="1"/>
  <c r="U10" i="6" s="1"/>
  <c r="V10" i="6" s="1"/>
  <c r="W10" i="6" s="1"/>
  <c r="AQ9" i="6"/>
  <c r="AR9" i="6" s="1"/>
  <c r="AE9" i="6"/>
  <c r="Q29" i="6"/>
  <c r="AD28" i="6"/>
  <c r="R28" i="6"/>
  <c r="BM4" i="1"/>
  <c r="BH5" i="1" l="1"/>
  <c r="BH8" i="1"/>
  <c r="BH13" i="1"/>
  <c r="BH9" i="1"/>
  <c r="BH10" i="1"/>
  <c r="BH16" i="1"/>
  <c r="AO22" i="6"/>
  <c r="AS22" i="6" s="1"/>
  <c r="AU22" i="6" s="1"/>
  <c r="AV22" i="6" s="1"/>
  <c r="AW22" i="6" s="1"/>
  <c r="AD92" i="6"/>
  <c r="Q93" i="6"/>
  <c r="R92" i="6"/>
  <c r="S92" i="6" s="1"/>
  <c r="U92" i="6" s="1"/>
  <c r="V92" i="6" s="1"/>
  <c r="W92" i="6" s="1"/>
  <c r="AT93" i="6"/>
  <c r="W91" i="6"/>
  <c r="T93" i="6"/>
  <c r="AQ91" i="6"/>
  <c r="AR91" i="6" s="1"/>
  <c r="AE91" i="6"/>
  <c r="AG93" i="6"/>
  <c r="T77" i="6"/>
  <c r="U76" i="6"/>
  <c r="V76" i="6" s="1"/>
  <c r="W76" i="6" s="1"/>
  <c r="AG77" i="6"/>
  <c r="AD77" i="6"/>
  <c r="Q78" i="6"/>
  <c r="R77" i="6"/>
  <c r="S77" i="6" s="1"/>
  <c r="AT77" i="6"/>
  <c r="AQ76" i="6"/>
  <c r="AR76" i="6" s="1"/>
  <c r="AE76" i="6"/>
  <c r="T62" i="6"/>
  <c r="AD60" i="6"/>
  <c r="Q61" i="6"/>
  <c r="R60" i="6"/>
  <c r="S60" i="6" s="1"/>
  <c r="U60" i="6" s="1"/>
  <c r="V60" i="6" s="1"/>
  <c r="W60" i="6" s="1"/>
  <c r="AQ59" i="6"/>
  <c r="AR59" i="6" s="1"/>
  <c r="AE59" i="6"/>
  <c r="AT45" i="6"/>
  <c r="AG45" i="6"/>
  <c r="AD44" i="6"/>
  <c r="Q45" i="6"/>
  <c r="R44" i="6"/>
  <c r="S44" i="6" s="1"/>
  <c r="U44" i="6" s="1"/>
  <c r="V44" i="6" s="1"/>
  <c r="W44" i="6" s="1"/>
  <c r="AQ43" i="6"/>
  <c r="AR43" i="6" s="1"/>
  <c r="AE43" i="6"/>
  <c r="T45" i="6"/>
  <c r="AT30" i="6"/>
  <c r="AG30" i="6"/>
  <c r="AG14" i="6"/>
  <c r="T29" i="6"/>
  <c r="U28" i="6"/>
  <c r="V28" i="6" s="1"/>
  <c r="W28" i="6" s="1"/>
  <c r="T14" i="6"/>
  <c r="Q12" i="6"/>
  <c r="AD11" i="6"/>
  <c r="R11" i="6"/>
  <c r="S11" i="6" s="1"/>
  <c r="U11" i="6" s="1"/>
  <c r="V11" i="6" s="1"/>
  <c r="W11" i="6" s="1"/>
  <c r="AE28" i="6"/>
  <c r="AQ28" i="6"/>
  <c r="AR28" i="6" s="1"/>
  <c r="AQ10" i="6"/>
  <c r="AR10" i="6" s="1"/>
  <c r="AE10" i="6"/>
  <c r="Q30" i="6"/>
  <c r="AD29" i="6"/>
  <c r="R29" i="6"/>
  <c r="BH7" i="1"/>
  <c r="J13" i="1" s="1"/>
  <c r="BH14" i="1"/>
  <c r="BI14" i="1" s="1"/>
  <c r="Q11" i="1" s="1"/>
  <c r="BH6" i="1"/>
  <c r="I13" i="1" s="1"/>
  <c r="BH11" i="1"/>
  <c r="N13" i="1" s="1"/>
  <c r="BH15" i="1"/>
  <c r="BH12" i="1"/>
  <c r="BI12" i="1" s="1"/>
  <c r="O11" i="1" s="1"/>
  <c r="BI9" i="1" l="1"/>
  <c r="L11" i="1" s="1"/>
  <c r="L13" i="1"/>
  <c r="L14" i="1" s="1"/>
  <c r="P13" i="1"/>
  <c r="P14" i="1" s="1"/>
  <c r="BI13" i="1"/>
  <c r="P11" i="1" s="1"/>
  <c r="M13" i="1"/>
  <c r="M14" i="1" s="1"/>
  <c r="BI10" i="1"/>
  <c r="M11" i="1" s="1"/>
  <c r="BI8" i="1"/>
  <c r="K11" i="1" s="1"/>
  <c r="K13" i="1"/>
  <c r="K14" i="1" s="1"/>
  <c r="BI16" i="1"/>
  <c r="S11" i="1" s="1"/>
  <c r="S13" i="1"/>
  <c r="S14" i="1" s="1"/>
  <c r="H13" i="1"/>
  <c r="H14" i="1" s="1"/>
  <c r="BI5" i="1"/>
  <c r="H11" i="1" s="1"/>
  <c r="AO11" i="6"/>
  <c r="AS11" i="6" s="1"/>
  <c r="AU11" i="6" s="1"/>
  <c r="AV11" i="6" s="1"/>
  <c r="AW11" i="6" s="1"/>
  <c r="AO38" i="6"/>
  <c r="AS38" i="6" s="1"/>
  <c r="AU38" i="6" s="1"/>
  <c r="AV38" i="6" s="1"/>
  <c r="AW38" i="6" s="1"/>
  <c r="AO14" i="6"/>
  <c r="AS14" i="6" s="1"/>
  <c r="AU14" i="6" s="1"/>
  <c r="AV14" i="6" s="1"/>
  <c r="AW14" i="6" s="1"/>
  <c r="AO7" i="6"/>
  <c r="AS7" i="6" s="1"/>
  <c r="AU7" i="6" s="1"/>
  <c r="AV7" i="6" s="1"/>
  <c r="AW7" i="6" s="1"/>
  <c r="AO3" i="6"/>
  <c r="AS3" i="6" s="1"/>
  <c r="AO8" i="6"/>
  <c r="AS8" i="6" s="1"/>
  <c r="AU8" i="6" s="1"/>
  <c r="AV8" i="6" s="1"/>
  <c r="AW8" i="6" s="1"/>
  <c r="AG94" i="6"/>
  <c r="AE92" i="6"/>
  <c r="AQ92" i="6"/>
  <c r="AR92" i="6" s="1"/>
  <c r="AT94" i="6"/>
  <c r="T94" i="6"/>
  <c r="AD93" i="6"/>
  <c r="Q94" i="6"/>
  <c r="R93" i="6"/>
  <c r="S93" i="6" s="1"/>
  <c r="U93" i="6" s="1"/>
  <c r="V93" i="6" s="1"/>
  <c r="W93" i="6" s="1"/>
  <c r="AT78" i="6"/>
  <c r="AG78" i="6"/>
  <c r="AE77" i="6"/>
  <c r="AQ77" i="6"/>
  <c r="AR77" i="6" s="1"/>
  <c r="AD78" i="6"/>
  <c r="R78" i="6"/>
  <c r="S78" i="6" s="1"/>
  <c r="S79" i="6" s="1"/>
  <c r="R79" i="6" s="1"/>
  <c r="T78" i="6"/>
  <c r="U77" i="6"/>
  <c r="V77" i="6" s="1"/>
  <c r="W77" i="6" s="1"/>
  <c r="AD61" i="6"/>
  <c r="Q62" i="6"/>
  <c r="R61" i="6"/>
  <c r="S61" i="6" s="1"/>
  <c r="U61" i="6" s="1"/>
  <c r="V61" i="6" s="1"/>
  <c r="W61" i="6" s="1"/>
  <c r="AE60" i="6"/>
  <c r="AQ60" i="6"/>
  <c r="AR60" i="6" s="1"/>
  <c r="AE44" i="6"/>
  <c r="AQ44" i="6"/>
  <c r="AR44" i="6" s="1"/>
  <c r="AG46" i="6"/>
  <c r="AD45" i="6"/>
  <c r="Q46" i="6"/>
  <c r="R45" i="6"/>
  <c r="S45" i="6" s="1"/>
  <c r="U45" i="6" s="1"/>
  <c r="V45" i="6" s="1"/>
  <c r="W45" i="6" s="1"/>
  <c r="T46" i="6"/>
  <c r="AT46" i="6"/>
  <c r="U29" i="6"/>
  <c r="V29" i="6" s="1"/>
  <c r="W29" i="6" s="1"/>
  <c r="T30" i="6"/>
  <c r="U30" i="6" s="1"/>
  <c r="V30" i="6" s="1"/>
  <c r="Q13" i="6"/>
  <c r="AD12" i="6"/>
  <c r="R12" i="6"/>
  <c r="S12" i="6" s="1"/>
  <c r="U12" i="6" s="1"/>
  <c r="V12" i="6" s="1"/>
  <c r="W12" i="6" s="1"/>
  <c r="AQ11" i="6"/>
  <c r="AR11" i="6" s="1"/>
  <c r="AE11" i="6"/>
  <c r="AE29" i="6"/>
  <c r="AQ29" i="6"/>
  <c r="AR29" i="6" s="1"/>
  <c r="O13" i="1"/>
  <c r="Q13" i="1"/>
  <c r="N14" i="1"/>
  <c r="I14" i="1"/>
  <c r="J14" i="1"/>
  <c r="AD30" i="6"/>
  <c r="R30" i="6"/>
  <c r="S31" i="6" s="1"/>
  <c r="BI7" i="1"/>
  <c r="J11" i="1" s="1"/>
  <c r="O12" i="1"/>
  <c r="Q12" i="1"/>
  <c r="Z12" i="6"/>
  <c r="BI6" i="1"/>
  <c r="I11" i="1" s="1"/>
  <c r="BI11" i="1"/>
  <c r="N11" i="1" s="1"/>
  <c r="R13" i="1"/>
  <c r="BI15" i="1"/>
  <c r="R11" i="1" s="1"/>
  <c r="Z10" i="6"/>
  <c r="Z6" i="6" l="1"/>
  <c r="K12" i="1"/>
  <c r="M12" i="1"/>
  <c r="Z8" i="6"/>
  <c r="H12" i="1"/>
  <c r="Z3" i="6"/>
  <c r="P12" i="1"/>
  <c r="Z11" i="6"/>
  <c r="Z14" i="6"/>
  <c r="S12" i="1"/>
  <c r="Z7" i="6"/>
  <c r="L12" i="1"/>
  <c r="AO12" i="6"/>
  <c r="AS12" i="6" s="1"/>
  <c r="AU12" i="6" s="1"/>
  <c r="AV12" i="6" s="1"/>
  <c r="AW12" i="6" s="1"/>
  <c r="AB12" i="6"/>
  <c r="AF12" i="6" s="1"/>
  <c r="AH12" i="6" s="1"/>
  <c r="AI12" i="6" s="1"/>
  <c r="AJ12" i="6" s="1"/>
  <c r="AO24" i="6"/>
  <c r="AS24" i="6" s="1"/>
  <c r="AU24" i="6" s="1"/>
  <c r="AV24" i="6" s="1"/>
  <c r="AW24" i="6" s="1"/>
  <c r="AO27" i="6"/>
  <c r="AS27" i="6" s="1"/>
  <c r="AU27" i="6" s="1"/>
  <c r="AV27" i="6" s="1"/>
  <c r="AW27" i="6" s="1"/>
  <c r="AO19" i="6"/>
  <c r="AS19" i="6" s="1"/>
  <c r="AU3" i="6"/>
  <c r="AV3" i="6" s="1"/>
  <c r="AO10" i="6"/>
  <c r="AS10" i="6" s="1"/>
  <c r="AU10" i="6" s="1"/>
  <c r="AV10" i="6" s="1"/>
  <c r="AW10" i="6" s="1"/>
  <c r="AB10" i="6"/>
  <c r="AF10" i="6" s="1"/>
  <c r="AH10" i="6" s="1"/>
  <c r="AI10" i="6" s="1"/>
  <c r="AJ10" i="6" s="1"/>
  <c r="AO23" i="6"/>
  <c r="AS23" i="6" s="1"/>
  <c r="AU23" i="6" s="1"/>
  <c r="AV23" i="6" s="1"/>
  <c r="AW23" i="6" s="1"/>
  <c r="AO54" i="6"/>
  <c r="AS54" i="6" s="1"/>
  <c r="AU54" i="6" s="1"/>
  <c r="AV54" i="6" s="1"/>
  <c r="AW54" i="6" s="1"/>
  <c r="AD94" i="6"/>
  <c r="R94" i="6"/>
  <c r="S94" i="6" s="1"/>
  <c r="S95" i="6" s="1"/>
  <c r="R95" i="6" s="1"/>
  <c r="AE93" i="6"/>
  <c r="AQ93" i="6"/>
  <c r="AR93" i="6" s="1"/>
  <c r="U78" i="6"/>
  <c r="V78" i="6" s="1"/>
  <c r="AQ78" i="6"/>
  <c r="AR78" i="6" s="1"/>
  <c r="AE78" i="6"/>
  <c r="AE61" i="6"/>
  <c r="AQ61" i="6"/>
  <c r="AR61" i="6" s="1"/>
  <c r="AD62" i="6"/>
  <c r="R62" i="6"/>
  <c r="S62" i="6" s="1"/>
  <c r="AD46" i="6"/>
  <c r="R46" i="6"/>
  <c r="S46" i="6" s="1"/>
  <c r="S47" i="6" s="1"/>
  <c r="R47" i="6" s="1"/>
  <c r="AE45" i="6"/>
  <c r="AQ45" i="6"/>
  <c r="AR45" i="6" s="1"/>
  <c r="W30" i="6"/>
  <c r="V31" i="6"/>
  <c r="Q14" i="6"/>
  <c r="AD13" i="6"/>
  <c r="R13" i="6"/>
  <c r="S13" i="6" s="1"/>
  <c r="U13" i="6" s="1"/>
  <c r="V13" i="6" s="1"/>
  <c r="W13" i="6" s="1"/>
  <c r="AE30" i="6"/>
  <c r="AQ30" i="6"/>
  <c r="AR30" i="6" s="1"/>
  <c r="AQ12" i="6"/>
  <c r="AR12" i="6" s="1"/>
  <c r="AE12" i="6"/>
  <c r="R31" i="6"/>
  <c r="AO30" i="6"/>
  <c r="AS30" i="6" s="1"/>
  <c r="AU30" i="6" s="1"/>
  <c r="AV30" i="6" s="1"/>
  <c r="AW30" i="6" s="1"/>
  <c r="R14" i="1"/>
  <c r="O14" i="1"/>
  <c r="Z28" i="6"/>
  <c r="Z26" i="6"/>
  <c r="Q14" i="1"/>
  <c r="Z5" i="6"/>
  <c r="J12" i="1"/>
  <c r="I12" i="1"/>
  <c r="Z4" i="6"/>
  <c r="T11" i="1"/>
  <c r="T13" i="1"/>
  <c r="N12" i="1"/>
  <c r="Z9" i="6"/>
  <c r="Z13" i="6"/>
  <c r="AB13" i="6" s="1"/>
  <c r="AF13" i="6" s="1"/>
  <c r="AH13" i="6" s="1"/>
  <c r="AI13" i="6" s="1"/>
  <c r="AJ13" i="6" s="1"/>
  <c r="R12" i="1"/>
  <c r="AB8" i="6" l="1"/>
  <c r="AF8" i="6" s="1"/>
  <c r="AH8" i="6" s="1"/>
  <c r="AI8" i="6" s="1"/>
  <c r="AJ8" i="6" s="1"/>
  <c r="Z24" i="6"/>
  <c r="Z23" i="6"/>
  <c r="AB7" i="6"/>
  <c r="AF7" i="6" s="1"/>
  <c r="AH7" i="6" s="1"/>
  <c r="AI7" i="6" s="1"/>
  <c r="AJ7" i="6" s="1"/>
  <c r="Z27" i="6"/>
  <c r="AB11" i="6"/>
  <c r="AF11" i="6" s="1"/>
  <c r="AH11" i="6" s="1"/>
  <c r="AI11" i="6" s="1"/>
  <c r="AJ11" i="6" s="1"/>
  <c r="AB3" i="6"/>
  <c r="AF3" i="6" s="1"/>
  <c r="AH3" i="6" s="1"/>
  <c r="AI3" i="6" s="1"/>
  <c r="AJ3" i="6" s="1"/>
  <c r="Z19" i="6"/>
  <c r="AB14" i="6"/>
  <c r="AF14" i="6" s="1"/>
  <c r="AH14" i="6" s="1"/>
  <c r="AI14" i="6" s="1"/>
  <c r="AJ14" i="6" s="1"/>
  <c r="Z30" i="6"/>
  <c r="Z22" i="6"/>
  <c r="AB6" i="6"/>
  <c r="AF6" i="6" s="1"/>
  <c r="AH6" i="6" s="1"/>
  <c r="AI6" i="6" s="1"/>
  <c r="AJ6" i="6" s="1"/>
  <c r="U19" i="1"/>
  <c r="U28" i="1"/>
  <c r="U30" i="1"/>
  <c r="U21" i="1"/>
  <c r="T14" i="1"/>
  <c r="T12" i="1"/>
  <c r="AO4" i="6"/>
  <c r="AS4" i="6" s="1"/>
  <c r="AB4" i="6"/>
  <c r="AF4" i="6" s="1"/>
  <c r="AO28" i="6"/>
  <c r="AS28" i="6" s="1"/>
  <c r="AU28" i="6" s="1"/>
  <c r="AV28" i="6" s="1"/>
  <c r="AW28" i="6" s="1"/>
  <c r="Z44" i="6"/>
  <c r="AB28" i="6"/>
  <c r="AF28" i="6" s="1"/>
  <c r="AH28" i="6" s="1"/>
  <c r="AI28" i="6" s="1"/>
  <c r="AJ28" i="6" s="1"/>
  <c r="AO70" i="6"/>
  <c r="AS70" i="6" s="1"/>
  <c r="AU70" i="6" s="1"/>
  <c r="AV70" i="6" s="1"/>
  <c r="AW70" i="6" s="1"/>
  <c r="AO43" i="6"/>
  <c r="AS43" i="6" s="1"/>
  <c r="AU43" i="6" s="1"/>
  <c r="AV43" i="6" s="1"/>
  <c r="AW43" i="6" s="1"/>
  <c r="AO46" i="6"/>
  <c r="AO9" i="6"/>
  <c r="AS9" i="6" s="1"/>
  <c r="AU9" i="6" s="1"/>
  <c r="AV9" i="6" s="1"/>
  <c r="AW9" i="6" s="1"/>
  <c r="AB9" i="6"/>
  <c r="AF9" i="6" s="1"/>
  <c r="AH9" i="6" s="1"/>
  <c r="AI9" i="6" s="1"/>
  <c r="AJ9" i="6" s="1"/>
  <c r="AO5" i="6"/>
  <c r="AS5" i="6" s="1"/>
  <c r="AU5" i="6" s="1"/>
  <c r="AV5" i="6" s="1"/>
  <c r="AW5" i="6" s="1"/>
  <c r="AB5" i="6"/>
  <c r="AF5" i="6" s="1"/>
  <c r="AH5" i="6" s="1"/>
  <c r="AI5" i="6" s="1"/>
  <c r="AJ5" i="6" s="1"/>
  <c r="AO39" i="6"/>
  <c r="AS39" i="6" s="1"/>
  <c r="AU39" i="6" s="1"/>
  <c r="AV39" i="6" s="1"/>
  <c r="AW39" i="6" s="1"/>
  <c r="AW3" i="6"/>
  <c r="AU19" i="6"/>
  <c r="AV19" i="6" s="1"/>
  <c r="AO40" i="6"/>
  <c r="AS40" i="6" s="1"/>
  <c r="AU40" i="6" s="1"/>
  <c r="AV40" i="6" s="1"/>
  <c r="AW40" i="6" s="1"/>
  <c r="W31" i="6"/>
  <c r="AO26" i="6"/>
  <c r="AS26" i="6" s="1"/>
  <c r="AU26" i="6" s="1"/>
  <c r="AV26" i="6" s="1"/>
  <c r="AW26" i="6" s="1"/>
  <c r="Z42" i="6"/>
  <c r="AB26" i="6"/>
  <c r="AF26" i="6" s="1"/>
  <c r="AH26" i="6" s="1"/>
  <c r="AI26" i="6" s="1"/>
  <c r="AJ26" i="6" s="1"/>
  <c r="U94" i="6"/>
  <c r="V94" i="6" s="1"/>
  <c r="W94" i="6" s="1"/>
  <c r="AQ94" i="6"/>
  <c r="AR94" i="6" s="1"/>
  <c r="AE94" i="6"/>
  <c r="W78" i="6"/>
  <c r="V79" i="6"/>
  <c r="S63" i="6"/>
  <c r="U62" i="6"/>
  <c r="V62" i="6" s="1"/>
  <c r="AE62" i="6"/>
  <c r="AQ62" i="6"/>
  <c r="AR62" i="6" s="1"/>
  <c r="AE46" i="6"/>
  <c r="AQ46" i="6"/>
  <c r="AR46" i="6" s="1"/>
  <c r="U46" i="6"/>
  <c r="V46" i="6" s="1"/>
  <c r="AQ13" i="6"/>
  <c r="AR13" i="6" s="1"/>
  <c r="AE13" i="6"/>
  <c r="AD14" i="6"/>
  <c r="R14" i="6"/>
  <c r="S14" i="6" s="1"/>
  <c r="U14" i="6" s="1"/>
  <c r="V14" i="6" s="1"/>
  <c r="Z29" i="6"/>
  <c r="AO13" i="6"/>
  <c r="AS13" i="6" s="1"/>
  <c r="AU13" i="6" s="1"/>
  <c r="AV13" i="6" s="1"/>
  <c r="AW13" i="6" s="1"/>
  <c r="Z25" i="6"/>
  <c r="Z21" i="6"/>
  <c r="Z20" i="6"/>
  <c r="Z15" i="6"/>
  <c r="Z43" i="6" l="1"/>
  <c r="AB27" i="6"/>
  <c r="AF27" i="6" s="1"/>
  <c r="AH27" i="6" s="1"/>
  <c r="AI27" i="6" s="1"/>
  <c r="AJ27" i="6" s="1"/>
  <c r="Z38" i="6"/>
  <c r="AB22" i="6"/>
  <c r="AF22" i="6" s="1"/>
  <c r="AH22" i="6" s="1"/>
  <c r="AI22" i="6" s="1"/>
  <c r="AJ22" i="6" s="1"/>
  <c r="AB23" i="6"/>
  <c r="AF23" i="6" s="1"/>
  <c r="AH23" i="6" s="1"/>
  <c r="AI23" i="6" s="1"/>
  <c r="AJ23" i="6" s="1"/>
  <c r="Z39" i="6"/>
  <c r="AB30" i="6"/>
  <c r="AF30" i="6" s="1"/>
  <c r="AH30" i="6" s="1"/>
  <c r="AI30" i="6" s="1"/>
  <c r="AJ30" i="6" s="1"/>
  <c r="Z46" i="6"/>
  <c r="AB24" i="6"/>
  <c r="AF24" i="6" s="1"/>
  <c r="AH24" i="6" s="1"/>
  <c r="AI24" i="6" s="1"/>
  <c r="AJ24" i="6" s="1"/>
  <c r="Z40" i="6"/>
  <c r="AB19" i="6"/>
  <c r="AF19" i="6" s="1"/>
  <c r="AH19" i="6" s="1"/>
  <c r="AI19" i="6" s="1"/>
  <c r="AJ19" i="6" s="1"/>
  <c r="Z35" i="6"/>
  <c r="AS46" i="6"/>
  <c r="AO25" i="6"/>
  <c r="AS25" i="6" s="1"/>
  <c r="AU25" i="6" s="1"/>
  <c r="AV25" i="6" s="1"/>
  <c r="AW25" i="6" s="1"/>
  <c r="Z41" i="6"/>
  <c r="AB25" i="6"/>
  <c r="AF25" i="6" s="1"/>
  <c r="AH25" i="6" s="1"/>
  <c r="AI25" i="6" s="1"/>
  <c r="AJ25" i="6" s="1"/>
  <c r="AO42" i="6"/>
  <c r="AS42" i="6" s="1"/>
  <c r="AU42" i="6" s="1"/>
  <c r="AV42" i="6" s="1"/>
  <c r="AW42" i="6" s="1"/>
  <c r="Z58" i="6"/>
  <c r="AB42" i="6"/>
  <c r="AF42" i="6" s="1"/>
  <c r="AH42" i="6" s="1"/>
  <c r="AI42" i="6" s="1"/>
  <c r="AJ42" i="6" s="1"/>
  <c r="AO59" i="6"/>
  <c r="AS59" i="6" s="1"/>
  <c r="AU59" i="6" s="1"/>
  <c r="AV59" i="6" s="1"/>
  <c r="AW59" i="6" s="1"/>
  <c r="AO62" i="6"/>
  <c r="AS62" i="6" s="1"/>
  <c r="AU62" i="6" s="1"/>
  <c r="AV62" i="6" s="1"/>
  <c r="AO21" i="6"/>
  <c r="AS21" i="6" s="1"/>
  <c r="AU21" i="6" s="1"/>
  <c r="AV21" i="6" s="1"/>
  <c r="AW21" i="6" s="1"/>
  <c r="Z37" i="6"/>
  <c r="AB21" i="6"/>
  <c r="AF21" i="6" s="1"/>
  <c r="AH21" i="6" s="1"/>
  <c r="AI21" i="6" s="1"/>
  <c r="AJ21" i="6" s="1"/>
  <c r="AO29" i="6"/>
  <c r="AS29" i="6" s="1"/>
  <c r="AU29" i="6" s="1"/>
  <c r="AV29" i="6" s="1"/>
  <c r="AW29" i="6" s="1"/>
  <c r="Z45" i="6"/>
  <c r="AB29" i="6"/>
  <c r="AF29" i="6" s="1"/>
  <c r="AH29" i="6" s="1"/>
  <c r="AI29" i="6" s="1"/>
  <c r="AJ29" i="6" s="1"/>
  <c r="AO56" i="6"/>
  <c r="AS56" i="6" s="1"/>
  <c r="AU56" i="6" s="1"/>
  <c r="AV56" i="6" s="1"/>
  <c r="AW56" i="6" s="1"/>
  <c r="AO55" i="6"/>
  <c r="AS55" i="6" s="1"/>
  <c r="AU55" i="6" s="1"/>
  <c r="AV55" i="6" s="1"/>
  <c r="AW55" i="6" s="1"/>
  <c r="AH4" i="6"/>
  <c r="AI4" i="6" s="1"/>
  <c r="AF15" i="6"/>
  <c r="AO44" i="6"/>
  <c r="AS44" i="6" s="1"/>
  <c r="AU44" i="6" s="1"/>
  <c r="AV44" i="6" s="1"/>
  <c r="AW44" i="6" s="1"/>
  <c r="Z60" i="6"/>
  <c r="AB44" i="6"/>
  <c r="AF44" i="6" s="1"/>
  <c r="AH44" i="6" s="1"/>
  <c r="AI44" i="6" s="1"/>
  <c r="AJ44" i="6" s="1"/>
  <c r="AU4" i="6"/>
  <c r="AV4" i="6" s="1"/>
  <c r="AS15" i="6"/>
  <c r="AO20" i="6"/>
  <c r="AS20" i="6" s="1"/>
  <c r="Z36" i="6"/>
  <c r="AB20" i="6"/>
  <c r="AF20" i="6" s="1"/>
  <c r="W79" i="6"/>
  <c r="AO35" i="6"/>
  <c r="AS35" i="6" s="1"/>
  <c r="AU35" i="6" s="1"/>
  <c r="AV35" i="6" s="1"/>
  <c r="AW35" i="6" s="1"/>
  <c r="AW19" i="6"/>
  <c r="AO86" i="6"/>
  <c r="AS86" i="6" s="1"/>
  <c r="AU86" i="6" s="1"/>
  <c r="AV86" i="6" s="1"/>
  <c r="AW86" i="6" s="1"/>
  <c r="V95" i="6"/>
  <c r="R63" i="6"/>
  <c r="W62" i="6"/>
  <c r="V63" i="6"/>
  <c r="W46" i="6"/>
  <c r="V47" i="6"/>
  <c r="AU46" i="6"/>
  <c r="AV46" i="6" s="1"/>
  <c r="W14" i="6"/>
  <c r="V15" i="6"/>
  <c r="S15" i="6"/>
  <c r="AQ14" i="6"/>
  <c r="AR14" i="6" s="1"/>
  <c r="AE14" i="6"/>
  <c r="AM15" i="6"/>
  <c r="Z31" i="6"/>
  <c r="AB46" i="6" l="1"/>
  <c r="AF46" i="6" s="1"/>
  <c r="AH46" i="6" s="1"/>
  <c r="AI46" i="6" s="1"/>
  <c r="Z62" i="6"/>
  <c r="AB38" i="6"/>
  <c r="AF38" i="6" s="1"/>
  <c r="AH38" i="6" s="1"/>
  <c r="AI38" i="6" s="1"/>
  <c r="AJ38" i="6" s="1"/>
  <c r="Z54" i="6"/>
  <c r="AB35" i="6"/>
  <c r="AF35" i="6" s="1"/>
  <c r="AH35" i="6" s="1"/>
  <c r="AI35" i="6" s="1"/>
  <c r="AJ35" i="6" s="1"/>
  <c r="Z51" i="6"/>
  <c r="AB40" i="6"/>
  <c r="AF40" i="6" s="1"/>
  <c r="AH40" i="6" s="1"/>
  <c r="AI40" i="6" s="1"/>
  <c r="AJ40" i="6" s="1"/>
  <c r="Z56" i="6"/>
  <c r="AB39" i="6"/>
  <c r="AF39" i="6" s="1"/>
  <c r="AH39" i="6" s="1"/>
  <c r="AI39" i="6" s="1"/>
  <c r="AJ39" i="6" s="1"/>
  <c r="Z55" i="6"/>
  <c r="Z59" i="6"/>
  <c r="AB43" i="6"/>
  <c r="AF43" i="6" s="1"/>
  <c r="AH43" i="6" s="1"/>
  <c r="AI43" i="6" s="1"/>
  <c r="AJ43" i="6" s="1"/>
  <c r="AO78" i="6"/>
  <c r="AS78" i="6" s="1"/>
  <c r="W47" i="6"/>
  <c r="AJ4" i="6"/>
  <c r="AI15" i="6"/>
  <c r="Z61" i="6"/>
  <c r="AB45" i="6"/>
  <c r="AF45" i="6" s="1"/>
  <c r="AH45" i="6" s="1"/>
  <c r="AI45" i="6" s="1"/>
  <c r="AJ45" i="6" s="1"/>
  <c r="AO45" i="6"/>
  <c r="AS45" i="6" s="1"/>
  <c r="AU45" i="6" s="1"/>
  <c r="AV45" i="6" s="1"/>
  <c r="AW45" i="6" s="1"/>
  <c r="AO58" i="6"/>
  <c r="AS58" i="6" s="1"/>
  <c r="AU58" i="6" s="1"/>
  <c r="AV58" i="6" s="1"/>
  <c r="AW58" i="6" s="1"/>
  <c r="Z74" i="6"/>
  <c r="AB58" i="6"/>
  <c r="AF58" i="6" s="1"/>
  <c r="AH58" i="6" s="1"/>
  <c r="AI58" i="6" s="1"/>
  <c r="AJ58" i="6" s="1"/>
  <c r="W15" i="6"/>
  <c r="W63" i="6"/>
  <c r="AO60" i="6"/>
  <c r="AS60" i="6" s="1"/>
  <c r="AU60" i="6" s="1"/>
  <c r="AV60" i="6" s="1"/>
  <c r="AW60" i="6" s="1"/>
  <c r="Z76" i="6"/>
  <c r="AB60" i="6"/>
  <c r="AF60" i="6" s="1"/>
  <c r="AH60" i="6" s="1"/>
  <c r="AI60" i="6" s="1"/>
  <c r="AJ60" i="6" s="1"/>
  <c r="AU20" i="6"/>
  <c r="AV20" i="6" s="1"/>
  <c r="AS31" i="6"/>
  <c r="W95" i="6"/>
  <c r="AW4" i="6"/>
  <c r="AV15" i="6"/>
  <c r="AO51" i="6"/>
  <c r="AS51" i="6" s="1"/>
  <c r="AO71" i="6"/>
  <c r="AS71" i="6" s="1"/>
  <c r="AU71" i="6" s="1"/>
  <c r="AV71" i="6" s="1"/>
  <c r="AW71" i="6" s="1"/>
  <c r="AO72" i="6"/>
  <c r="AS72" i="6" s="1"/>
  <c r="AU72" i="6" s="1"/>
  <c r="AV72" i="6" s="1"/>
  <c r="AW72" i="6" s="1"/>
  <c r="AO37" i="6"/>
  <c r="AS37" i="6" s="1"/>
  <c r="AU37" i="6" s="1"/>
  <c r="AV37" i="6" s="1"/>
  <c r="AW37" i="6" s="1"/>
  <c r="Z53" i="6"/>
  <c r="AB37" i="6"/>
  <c r="AF37" i="6" s="1"/>
  <c r="AH37" i="6" s="1"/>
  <c r="AI37" i="6" s="1"/>
  <c r="AJ37" i="6" s="1"/>
  <c r="AF31" i="6"/>
  <c r="AH20" i="6"/>
  <c r="AI20" i="6" s="1"/>
  <c r="Z57" i="6"/>
  <c r="AO41" i="6"/>
  <c r="AS41" i="6" s="1"/>
  <c r="AU41" i="6" s="1"/>
  <c r="AV41" i="6" s="1"/>
  <c r="AW41" i="6" s="1"/>
  <c r="AB41" i="6"/>
  <c r="AF41" i="6" s="1"/>
  <c r="AH41" i="6" s="1"/>
  <c r="AI41" i="6" s="1"/>
  <c r="AJ41" i="6" s="1"/>
  <c r="AM31" i="6"/>
  <c r="Z52" i="6"/>
  <c r="AB36" i="6"/>
  <c r="AF36" i="6" s="1"/>
  <c r="Z47" i="6"/>
  <c r="AO75" i="6"/>
  <c r="AS75" i="6" s="1"/>
  <c r="AU75" i="6" s="1"/>
  <c r="AV75" i="6" s="1"/>
  <c r="AW75" i="6" s="1"/>
  <c r="AW62" i="6"/>
  <c r="AW46" i="6"/>
  <c r="AJ46" i="6"/>
  <c r="R15" i="6"/>
  <c r="AR15" i="6"/>
  <c r="AE15" i="6"/>
  <c r="Z72" i="6" l="1"/>
  <c r="AB56" i="6"/>
  <c r="AF56" i="6" s="1"/>
  <c r="AH56" i="6" s="1"/>
  <c r="AI56" i="6" s="1"/>
  <c r="AJ56" i="6" s="1"/>
  <c r="Z70" i="6"/>
  <c r="AB54" i="6"/>
  <c r="AF54" i="6" s="1"/>
  <c r="AH54" i="6" s="1"/>
  <c r="AI54" i="6" s="1"/>
  <c r="AJ54" i="6" s="1"/>
  <c r="Z75" i="6"/>
  <c r="AB59" i="6"/>
  <c r="AF59" i="6" s="1"/>
  <c r="AH59" i="6" s="1"/>
  <c r="AI59" i="6" s="1"/>
  <c r="AJ59" i="6" s="1"/>
  <c r="Z67" i="6"/>
  <c r="AB51" i="6"/>
  <c r="AF51" i="6" s="1"/>
  <c r="AH51" i="6" s="1"/>
  <c r="AI51" i="6" s="1"/>
  <c r="AJ51" i="6" s="1"/>
  <c r="AB55" i="6"/>
  <c r="AF55" i="6" s="1"/>
  <c r="AH55" i="6" s="1"/>
  <c r="AI55" i="6" s="1"/>
  <c r="AJ55" i="6" s="1"/>
  <c r="Z71" i="6"/>
  <c r="Z78" i="6"/>
  <c r="AB62" i="6"/>
  <c r="AF62" i="6" s="1"/>
  <c r="AH62" i="6" s="1"/>
  <c r="AI62" i="6" s="1"/>
  <c r="AJ62" i="6" s="1"/>
  <c r="AR31" i="6"/>
  <c r="AO36" i="6"/>
  <c r="AS36" i="6" s="1"/>
  <c r="AM47" i="6"/>
  <c r="AO53" i="6"/>
  <c r="AS53" i="6" s="1"/>
  <c r="AU53" i="6" s="1"/>
  <c r="AV53" i="6" s="1"/>
  <c r="AW53" i="6" s="1"/>
  <c r="Z69" i="6"/>
  <c r="AB53" i="6"/>
  <c r="AF53" i="6" s="1"/>
  <c r="AH53" i="6" s="1"/>
  <c r="AI53" i="6" s="1"/>
  <c r="AJ53" i="6" s="1"/>
  <c r="AO61" i="6"/>
  <c r="AS61" i="6" s="1"/>
  <c r="AU61" i="6" s="1"/>
  <c r="AV61" i="6" s="1"/>
  <c r="AW61" i="6" s="1"/>
  <c r="Z77" i="6"/>
  <c r="AB61" i="6"/>
  <c r="AF61" i="6" s="1"/>
  <c r="AH61" i="6" s="1"/>
  <c r="AI61" i="6" s="1"/>
  <c r="AJ61" i="6" s="1"/>
  <c r="AU51" i="6"/>
  <c r="AV51" i="6" s="1"/>
  <c r="AO91" i="6"/>
  <c r="AS91" i="6" s="1"/>
  <c r="AU91" i="6" s="1"/>
  <c r="AV91" i="6" s="1"/>
  <c r="AW91" i="6" s="1"/>
  <c r="AW15" i="6"/>
  <c r="AO87" i="6"/>
  <c r="AS87" i="6" s="1"/>
  <c r="AU87" i="6" s="1"/>
  <c r="AV87" i="6" s="1"/>
  <c r="AW87" i="6" s="1"/>
  <c r="AO67" i="6"/>
  <c r="AS67" i="6" s="1"/>
  <c r="AU67" i="6" s="1"/>
  <c r="AV67" i="6" s="1"/>
  <c r="Z68" i="6"/>
  <c r="AB52" i="6"/>
  <c r="AF52" i="6" s="1"/>
  <c r="Z63" i="6"/>
  <c r="Z73" i="6"/>
  <c r="AO57" i="6"/>
  <c r="AS57" i="6" s="1"/>
  <c r="AU57" i="6" s="1"/>
  <c r="AV57" i="6" s="1"/>
  <c r="AW57" i="6" s="1"/>
  <c r="AB57" i="6"/>
  <c r="AF57" i="6" s="1"/>
  <c r="AH57" i="6" s="1"/>
  <c r="AI57" i="6" s="1"/>
  <c r="AJ57" i="6" s="1"/>
  <c r="AO88" i="6"/>
  <c r="AS88" i="6" s="1"/>
  <c r="AU88" i="6" s="1"/>
  <c r="AV88" i="6" s="1"/>
  <c r="AW88" i="6" s="1"/>
  <c r="AO74" i="6"/>
  <c r="AS74" i="6" s="1"/>
  <c r="AU74" i="6" s="1"/>
  <c r="AV74" i="6" s="1"/>
  <c r="AW74" i="6" s="1"/>
  <c r="Z90" i="6"/>
  <c r="AB74" i="6"/>
  <c r="AF74" i="6" s="1"/>
  <c r="AH74" i="6" s="1"/>
  <c r="AI74" i="6" s="1"/>
  <c r="AJ74" i="6" s="1"/>
  <c r="AO94" i="6"/>
  <c r="AS94" i="6" s="1"/>
  <c r="AU94" i="6" s="1"/>
  <c r="AV94" i="6" s="1"/>
  <c r="AW94" i="6" s="1"/>
  <c r="AW20" i="6"/>
  <c r="AV31" i="6"/>
  <c r="AJ15" i="6"/>
  <c r="AH36" i="6"/>
  <c r="AI36" i="6" s="1"/>
  <c r="AF47" i="6"/>
  <c r="AE47" i="6" s="1"/>
  <c r="AJ20" i="6"/>
  <c r="AI31" i="6"/>
  <c r="AO76" i="6"/>
  <c r="AS76" i="6" s="1"/>
  <c r="AU76" i="6" s="1"/>
  <c r="AV76" i="6" s="1"/>
  <c r="AW76" i="6" s="1"/>
  <c r="Z92" i="6"/>
  <c r="AB76" i="6"/>
  <c r="AF76" i="6" s="1"/>
  <c r="AH76" i="6" s="1"/>
  <c r="AI76" i="6" s="1"/>
  <c r="AJ76" i="6" s="1"/>
  <c r="AU78" i="6"/>
  <c r="AV78" i="6" s="1"/>
  <c r="AW78" i="6" s="1"/>
  <c r="AE31" i="6"/>
  <c r="Z94" i="6" l="1"/>
  <c r="AB94" i="6" s="1"/>
  <c r="AF94" i="6" s="1"/>
  <c r="AH94" i="6" s="1"/>
  <c r="AI94" i="6" s="1"/>
  <c r="AJ94" i="6" s="1"/>
  <c r="AB78" i="6"/>
  <c r="AF78" i="6" s="1"/>
  <c r="AH78" i="6" s="1"/>
  <c r="AI78" i="6" s="1"/>
  <c r="AJ78" i="6" s="1"/>
  <c r="AB70" i="6"/>
  <c r="AF70" i="6" s="1"/>
  <c r="AH70" i="6" s="1"/>
  <c r="AI70" i="6" s="1"/>
  <c r="AJ70" i="6" s="1"/>
  <c r="Z86" i="6"/>
  <c r="AB86" i="6" s="1"/>
  <c r="AF86" i="6" s="1"/>
  <c r="AH86" i="6" s="1"/>
  <c r="AI86" i="6" s="1"/>
  <c r="AJ86" i="6" s="1"/>
  <c r="Z83" i="6"/>
  <c r="AB83" i="6" s="1"/>
  <c r="AF83" i="6" s="1"/>
  <c r="AH83" i="6" s="1"/>
  <c r="AI83" i="6" s="1"/>
  <c r="AB67" i="6"/>
  <c r="AF67" i="6" s="1"/>
  <c r="AH67" i="6" s="1"/>
  <c r="AI67" i="6" s="1"/>
  <c r="AJ67" i="6" s="1"/>
  <c r="Z91" i="6"/>
  <c r="AB91" i="6" s="1"/>
  <c r="AF91" i="6" s="1"/>
  <c r="AH91" i="6" s="1"/>
  <c r="AI91" i="6" s="1"/>
  <c r="AJ91" i="6" s="1"/>
  <c r="AB75" i="6"/>
  <c r="AF75" i="6" s="1"/>
  <c r="AH75" i="6" s="1"/>
  <c r="AI75" i="6" s="1"/>
  <c r="AJ75" i="6" s="1"/>
  <c r="AB71" i="6"/>
  <c r="AF71" i="6" s="1"/>
  <c r="AH71" i="6" s="1"/>
  <c r="AI71" i="6" s="1"/>
  <c r="AJ71" i="6" s="1"/>
  <c r="Z87" i="6"/>
  <c r="AB87" i="6" s="1"/>
  <c r="AF87" i="6" s="1"/>
  <c r="AH87" i="6" s="1"/>
  <c r="AI87" i="6" s="1"/>
  <c r="AJ87" i="6" s="1"/>
  <c r="Z88" i="6"/>
  <c r="AB88" i="6" s="1"/>
  <c r="AF88" i="6" s="1"/>
  <c r="AH88" i="6" s="1"/>
  <c r="AI88" i="6" s="1"/>
  <c r="AJ88" i="6" s="1"/>
  <c r="AB72" i="6"/>
  <c r="AF72" i="6" s="1"/>
  <c r="AH72" i="6" s="1"/>
  <c r="AI72" i="6" s="1"/>
  <c r="AJ72" i="6" s="1"/>
  <c r="AJ31" i="6"/>
  <c r="AW31" i="6"/>
  <c r="AH52" i="6"/>
  <c r="AI52" i="6" s="1"/>
  <c r="AF63" i="6"/>
  <c r="AE63" i="6" s="1"/>
  <c r="AO77" i="6"/>
  <c r="AS77" i="6" s="1"/>
  <c r="AU77" i="6" s="1"/>
  <c r="AV77" i="6" s="1"/>
  <c r="AW77" i="6" s="1"/>
  <c r="Z93" i="6"/>
  <c r="AB77" i="6"/>
  <c r="AF77" i="6" s="1"/>
  <c r="AH77" i="6" s="1"/>
  <c r="AI77" i="6" s="1"/>
  <c r="AJ77" i="6" s="1"/>
  <c r="AJ36" i="6"/>
  <c r="AI47" i="6"/>
  <c r="AO73" i="6"/>
  <c r="AS73" i="6" s="1"/>
  <c r="AU73" i="6" s="1"/>
  <c r="AV73" i="6" s="1"/>
  <c r="AW73" i="6" s="1"/>
  <c r="Z89" i="6"/>
  <c r="AB73" i="6"/>
  <c r="AF73" i="6" s="1"/>
  <c r="AH73" i="6" s="1"/>
  <c r="AI73" i="6" s="1"/>
  <c r="AJ73" i="6" s="1"/>
  <c r="AO69" i="6"/>
  <c r="AS69" i="6" s="1"/>
  <c r="AU69" i="6" s="1"/>
  <c r="AV69" i="6" s="1"/>
  <c r="AW69" i="6" s="1"/>
  <c r="Z85" i="6"/>
  <c r="AB69" i="6"/>
  <c r="AF69" i="6" s="1"/>
  <c r="AH69" i="6" s="1"/>
  <c r="AI69" i="6" s="1"/>
  <c r="AJ69" i="6" s="1"/>
  <c r="Z84" i="6"/>
  <c r="AB68" i="6"/>
  <c r="AF68" i="6" s="1"/>
  <c r="Z79" i="6"/>
  <c r="AO90" i="6"/>
  <c r="AS90" i="6" s="1"/>
  <c r="AU90" i="6" s="1"/>
  <c r="AV90" i="6" s="1"/>
  <c r="AW90" i="6" s="1"/>
  <c r="AB90" i="6"/>
  <c r="AF90" i="6" s="1"/>
  <c r="AH90" i="6" s="1"/>
  <c r="AI90" i="6" s="1"/>
  <c r="AJ90" i="6" s="1"/>
  <c r="AO83" i="6"/>
  <c r="AS83" i="6" s="1"/>
  <c r="AO52" i="6"/>
  <c r="AS52" i="6" s="1"/>
  <c r="AM63" i="6"/>
  <c r="AO92" i="6"/>
  <c r="AS92" i="6" s="1"/>
  <c r="AU92" i="6" s="1"/>
  <c r="AV92" i="6" s="1"/>
  <c r="AW92" i="6" s="1"/>
  <c r="AB92" i="6"/>
  <c r="AF92" i="6" s="1"/>
  <c r="AH92" i="6" s="1"/>
  <c r="AI92" i="6" s="1"/>
  <c r="AJ92" i="6" s="1"/>
  <c r="AW67" i="6"/>
  <c r="AW51" i="6"/>
  <c r="AU36" i="6"/>
  <c r="AV36" i="6" s="1"/>
  <c r="AS47" i="6"/>
  <c r="AR47" i="6" s="1"/>
  <c r="AO68" i="6" l="1"/>
  <c r="AS68" i="6" s="1"/>
  <c r="AM79" i="6"/>
  <c r="AJ52" i="6"/>
  <c r="AI63" i="6"/>
  <c r="AJ83" i="6"/>
  <c r="AU52" i="6"/>
  <c r="AV52" i="6" s="1"/>
  <c r="AS63" i="6"/>
  <c r="AR63" i="6" s="1"/>
  <c r="AU83" i="6"/>
  <c r="AV83" i="6" s="1"/>
  <c r="AO85" i="6"/>
  <c r="AS85" i="6" s="1"/>
  <c r="AU85" i="6" s="1"/>
  <c r="AV85" i="6" s="1"/>
  <c r="AW85" i="6" s="1"/>
  <c r="AB85" i="6"/>
  <c r="AF85" i="6" s="1"/>
  <c r="AH85" i="6" s="1"/>
  <c r="AI85" i="6" s="1"/>
  <c r="AJ85" i="6" s="1"/>
  <c r="AO93" i="6"/>
  <c r="AS93" i="6" s="1"/>
  <c r="AU93" i="6" s="1"/>
  <c r="AV93" i="6" s="1"/>
  <c r="AW93" i="6" s="1"/>
  <c r="AB93" i="6"/>
  <c r="AF93" i="6" s="1"/>
  <c r="AH93" i="6" s="1"/>
  <c r="AI93" i="6" s="1"/>
  <c r="AJ93" i="6" s="1"/>
  <c r="AO89" i="6"/>
  <c r="AS89" i="6" s="1"/>
  <c r="AU89" i="6" s="1"/>
  <c r="AV89" i="6" s="1"/>
  <c r="AW89" i="6" s="1"/>
  <c r="AB89" i="6"/>
  <c r="AF89" i="6" s="1"/>
  <c r="AH89" i="6" s="1"/>
  <c r="AI89" i="6" s="1"/>
  <c r="AJ89" i="6" s="1"/>
  <c r="AW36" i="6"/>
  <c r="AV47" i="6"/>
  <c r="AH68" i="6"/>
  <c r="AI68" i="6" s="1"/>
  <c r="AF79" i="6"/>
  <c r="AE79" i="6" s="1"/>
  <c r="AB84" i="6"/>
  <c r="AF84" i="6" s="1"/>
  <c r="Z95" i="6"/>
  <c r="AJ47" i="6"/>
  <c r="AW52" i="6" l="1"/>
  <c r="AV63" i="6"/>
  <c r="AW47" i="6"/>
  <c r="AH84" i="6"/>
  <c r="AI84" i="6" s="1"/>
  <c r="AF95" i="6"/>
  <c r="AE95" i="6" s="1"/>
  <c r="AO84" i="6"/>
  <c r="AS84" i="6" s="1"/>
  <c r="AM95" i="6"/>
  <c r="AJ68" i="6"/>
  <c r="AI79" i="6"/>
  <c r="AW83" i="6"/>
  <c r="AJ63" i="6"/>
  <c r="AU68" i="6"/>
  <c r="AV68" i="6" s="1"/>
  <c r="AS79" i="6"/>
  <c r="AR79" i="6" s="1"/>
  <c r="AJ84" i="6" l="1"/>
  <c r="AI95" i="6"/>
  <c r="AJ79" i="6"/>
  <c r="AW63" i="6"/>
  <c r="AW68" i="6"/>
  <c r="AV79" i="6"/>
  <c r="AU84" i="6"/>
  <c r="AV84" i="6" s="1"/>
  <c r="AS95" i="6"/>
  <c r="AR95" i="6" s="1"/>
  <c r="AW84" i="6" l="1"/>
  <c r="AV95" i="6"/>
  <c r="AW79" i="6"/>
  <c r="AJ95" i="6"/>
  <c r="AW95" i="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<sst xmlns="http://schemas.openxmlformats.org/spreadsheetml/2006/main" count="872" uniqueCount="143">
  <si>
    <t>INGRESOS</t>
  </si>
  <si>
    <t>Ingreso fijo</t>
  </si>
  <si>
    <t>Ingreso variable</t>
  </si>
  <si>
    <t>Costos fijos</t>
  </si>
  <si>
    <t>GASTOS</t>
  </si>
  <si>
    <t>Necesarios</t>
  </si>
  <si>
    <t>No necesarios</t>
  </si>
  <si>
    <t>OBLIGACIONES</t>
  </si>
  <si>
    <t>Deudas</t>
  </si>
  <si>
    <t>FUTURO FINANCIERO</t>
  </si>
  <si>
    <t>Ahorro</t>
  </si>
  <si>
    <t>Inversión</t>
  </si>
  <si>
    <t>FINANZAS MES</t>
  </si>
  <si>
    <t>Categoría</t>
  </si>
  <si>
    <t>Costo fijo</t>
  </si>
  <si>
    <t>Deuda</t>
  </si>
  <si>
    <t>Gasto necesario</t>
  </si>
  <si>
    <t>Gasto no necesario</t>
  </si>
  <si>
    <t>NOMBRE</t>
  </si>
  <si>
    <t>VALOR</t>
  </si>
  <si>
    <t>CATEGORÍA</t>
  </si>
  <si>
    <t>INSTRUCTIVO</t>
  </si>
  <si>
    <t>RESUMEN DE MIS FINANZAS</t>
  </si>
  <si>
    <t>FECHAS 2025</t>
  </si>
  <si>
    <t>Mes</t>
  </si>
  <si>
    <t>Actividad</t>
  </si>
  <si>
    <t>Prioridad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</si>
  <si>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</si>
  <si>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</si>
  <si>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</si>
  <si>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</si>
  <si>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</si>
  <si>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</si>
  <si>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</si>
  <si>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</si>
  <si>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</si>
  <si>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</si>
  <si>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</si>
  <si>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</si>
  <si>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Futuro financiero</t>
  </si>
  <si>
    <t>Gastos</t>
  </si>
  <si>
    <t>NORMAL</t>
  </si>
  <si>
    <t>Escenario</t>
  </si>
  <si>
    <t>Año</t>
  </si>
  <si>
    <t>Gasto</t>
  </si>
  <si>
    <t>aux</t>
  </si>
  <si>
    <t>Ahorro normal</t>
  </si>
  <si>
    <t>Gasto normal</t>
  </si>
  <si>
    <t>Gasto objetivo</t>
  </si>
  <si>
    <t>Ahorro objetivo</t>
  </si>
  <si>
    <t>mes</t>
  </si>
  <si>
    <t>año</t>
  </si>
  <si>
    <t>Date</t>
  </si>
  <si>
    <t>Price</t>
  </si>
  <si>
    <t>Open</t>
  </si>
  <si>
    <t>High</t>
  </si>
  <si>
    <t>Low</t>
  </si>
  <si>
    <t>Vol.</t>
  </si>
  <si>
    <t>Change %</t>
  </si>
  <si>
    <t>diciembre</t>
  </si>
  <si>
    <t>1.06B</t>
  </si>
  <si>
    <t>noviembre</t>
  </si>
  <si>
    <t>901.84M</t>
  </si>
  <si>
    <t>octubre</t>
  </si>
  <si>
    <t>976.13M</t>
  </si>
  <si>
    <t>septiembre</t>
  </si>
  <si>
    <t>1.05B</t>
  </si>
  <si>
    <t>agosto</t>
  </si>
  <si>
    <t>1.24B</t>
  </si>
  <si>
    <t>julio</t>
  </si>
  <si>
    <t>1.04B</t>
  </si>
  <si>
    <t>junio</t>
  </si>
  <si>
    <t>888.92M</t>
  </si>
  <si>
    <t>mayo</t>
  </si>
  <si>
    <t>1.15B</t>
  </si>
  <si>
    <t>abril</t>
  </si>
  <si>
    <t>1.59B</t>
  </si>
  <si>
    <t>marzo</t>
  </si>
  <si>
    <t>1.47B</t>
  </si>
  <si>
    <t>febrero</t>
  </si>
  <si>
    <t>1.39B</t>
  </si>
  <si>
    <t>enero</t>
  </si>
  <si>
    <t>1.70B</t>
  </si>
  <si>
    <t>1.64B</t>
  </si>
  <si>
    <t>1.50B</t>
  </si>
  <si>
    <t>2.00B</t>
  </si>
  <si>
    <t>1.76B</t>
  </si>
  <si>
    <t>1.37B</t>
  </si>
  <si>
    <t>1.75B</t>
  </si>
  <si>
    <t>1.78B</t>
  </si>
  <si>
    <t>1.40B</t>
  </si>
  <si>
    <t>2.52B</t>
  </si>
  <si>
    <t>1.60B</t>
  </si>
  <si>
    <t>1.58B</t>
  </si>
  <si>
    <t>1.74B</t>
  </si>
  <si>
    <t>2.02B</t>
  </si>
  <si>
    <t>1.44B</t>
  </si>
  <si>
    <t>1.96B</t>
  </si>
  <si>
    <t>2.42B</t>
  </si>
  <si>
    <t>1.86B</t>
  </si>
  <si>
    <t>2.38B</t>
  </si>
  <si>
    <t>2.30B</t>
  </si>
  <si>
    <t>2.49B</t>
  </si>
  <si>
    <t>1.93B</t>
  </si>
  <si>
    <t>1.34B</t>
  </si>
  <si>
    <t>1.51B</t>
  </si>
  <si>
    <t>1.25B</t>
  </si>
  <si>
    <t>1.42B</t>
  </si>
  <si>
    <t>1.28B</t>
  </si>
  <si>
    <t>1.55B</t>
  </si>
  <si>
    <t>1.46B</t>
  </si>
  <si>
    <t>2.40B</t>
  </si>
  <si>
    <t>1.31B</t>
  </si>
  <si>
    <t>1.35B</t>
  </si>
  <si>
    <t>1.54B</t>
  </si>
  <si>
    <t>1.63B</t>
  </si>
  <si>
    <t>1.82B</t>
  </si>
  <si>
    <t>2.36B</t>
  </si>
  <si>
    <t>1.91B</t>
  </si>
  <si>
    <t>2.82B</t>
  </si>
  <si>
    <t>5.93B</t>
  </si>
  <si>
    <t>2.11B</t>
  </si>
  <si>
    <t>1.29B</t>
  </si>
  <si>
    <t>1.41B</t>
  </si>
  <si>
    <t>1.33B</t>
  </si>
  <si>
    <t>2.04B</t>
  </si>
  <si>
    <t>1.14B</t>
  </si>
  <si>
    <t>1.85B</t>
  </si>
  <si>
    <t>1.21B</t>
  </si>
  <si>
    <t>1.68B</t>
  </si>
  <si>
    <t>2.05B</t>
  </si>
  <si>
    <t>AHORRO TOTAL</t>
  </si>
  <si>
    <t>1. En la pestaña "Mis finanzas", registra los movimientos financieros que haces en el mes con su respectivo valor y asigna una categoría.</t>
  </si>
  <si>
    <t>a) Registra tus ingresos y define si son ingresos fijos o ingresos variables.
b) Registra todos tus costos fijos. Por ejemplo arriendo, mercado, transporte.
c) Registra tus deudas y cuanto pagas mensualmente por cada deuda.
d) Registra cuanto destinas al mes a ahorro.
e) Registra cuanto destinas al mes a inversión.
f) Registra tus gastos y define si son gastos necesarios o no necesarios.</t>
  </si>
  <si>
    <t>2. Registra las actividades que quieres hacer este 2025, el mes y califica la prioridad de cada actividad donde 1 es prioridad baja y 6 es prioridad alta.</t>
  </si>
  <si>
    <t>MODELO BASE</t>
  </si>
  <si>
    <t>PLANEACIÓN</t>
  </si>
  <si>
    <t>DISTRIBUCIÓN NORMAL VS. MODELO BASE</t>
  </si>
  <si>
    <t>PLANEACIÓN Y SEGUIMIENTO</t>
  </si>
  <si>
    <t>3. Analiza la propuesta del modelo base de la distribución mensual de tus gastos y tu futuro financiero para el año 2025.</t>
  </si>
  <si>
    <t>4. Crea tu propio plan para distribuir tu futuro financiero y tus gastos de la manera que más se ajuste a tus finanzas personales.</t>
  </si>
  <si>
    <t>5. Lleva el seguimiento mes a mes de cuanto destinas a tus gastos y a tu futuro financiero.</t>
  </si>
  <si>
    <t>REAL (seguimiento)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</si>
</sst>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\ #,##0;\-&quot;$&quot;\ #,##0"/>
    <numFmt numFmtId="6" formatCode="&quot;$&quot;\ #,##0;[Red]\-&quot;$&quot;\ #,##0"/>
    <numFmt numFmtId="44" formatCode="_-&quot;$&quot;\ * #,##0.00_-;\-&quot;$&quot;\ * #,##0.00_-;_-&quot;$&quot;\ * &quot;-&quot;??_-;_-@_-"/>
    <numFmt numFmtId="164" formatCode="&quot;$&quot;\ #,##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5" fontId="0" fillId="2" borderId="0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5" fontId="2" fillId="3" borderId="0" xfId="0" applyNumberFormat="1" applyFont="1" applyFill="1" applyAlignment="1">
      <alignment horizontal="center" vertical="center"/>
    </xf>
    <xf numFmtId="10" fontId="2" fillId="3" borderId="0" xfId="2" applyNumberFormat="1" applyFont="1" applyFill="1" applyAlignment="1">
      <alignment horizontal="center" vertical="center"/>
    </xf>
    <xf numFmtId="10" fontId="0" fillId="2" borderId="0" xfId="2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5" borderId="0" xfId="0" applyFont="1" applyFill="1" applyAlignment="1">
      <alignment horizontal="center" vertical="center"/>
    </xf>
    <xf numFmtId="5" fontId="0" fillId="2" borderId="0" xfId="0" applyNumberFormat="1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5" fontId="0" fillId="2" borderId="17" xfId="0" applyNumberFormat="1" applyFill="1" applyBorder="1" applyAlignment="1">
      <alignment horizontal="center" vertical="center"/>
    </xf>
    <xf numFmtId="5" fontId="0" fillId="2" borderId="18" xfId="0" applyNumberFormat="1" applyFill="1" applyBorder="1" applyAlignment="1">
      <alignment horizontal="center" vertical="center"/>
    </xf>
    <xf numFmtId="5" fontId="0" fillId="2" borderId="15" xfId="0" applyNumberFormat="1" applyFill="1" applyBorder="1" applyAlignment="1">
      <alignment horizontal="center" vertical="center"/>
    </xf>
    <xf numFmtId="5" fontId="0" fillId="2" borderId="16" xfId="0" applyNumberForma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5" fontId="2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5" fontId="2" fillId="3" borderId="6" xfId="0" applyNumberFormat="1" applyFont="1" applyFill="1" applyBorder="1" applyAlignment="1">
      <alignment horizontal="center" vertical="center"/>
    </xf>
    <xf numFmtId="10" fontId="2" fillId="3" borderId="6" xfId="2" applyNumberFormat="1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5" fontId="2" fillId="2" borderId="0" xfId="0" applyNumberFormat="1" applyFont="1" applyFill="1" applyAlignment="1">
      <alignment horizontal="center" vertical="center"/>
    </xf>
    <xf numFmtId="10" fontId="4" fillId="2" borderId="0" xfId="2" applyNumberFormat="1" applyFont="1" applyFill="1" applyAlignment="1">
      <alignment horizontal="center" vertical="center"/>
    </xf>
    <xf numFmtId="9" fontId="0" fillId="2" borderId="0" xfId="2" applyFont="1" applyFill="1"/>
    <xf numFmtId="9" fontId="0" fillId="2" borderId="0" xfId="0" applyNumberFormat="1" applyFill="1"/>
    <xf numFmtId="0" fontId="0" fillId="3" borderId="6" xfId="0" applyFill="1" applyBorder="1" applyAlignment="1">
      <alignment horizontal="center" vertical="center"/>
    </xf>
    <xf numFmtId="6" fontId="0" fillId="2" borderId="24" xfId="0" applyNumberFormat="1" applyFill="1" applyBorder="1" applyAlignment="1">
      <alignment horizontal="center" vertical="center"/>
    </xf>
    <xf numFmtId="6" fontId="0" fillId="2" borderId="21" xfId="0" applyNumberFormat="1" applyFill="1" applyBorder="1" applyAlignment="1">
      <alignment horizontal="center" vertical="center"/>
    </xf>
    <xf numFmtId="6" fontId="0" fillId="2" borderId="23" xfId="0" applyNumberFormat="1" applyFill="1" applyBorder="1" applyAlignment="1">
      <alignment horizontal="center" vertical="center"/>
    </xf>
    <xf numFmtId="5" fontId="0" fillId="2" borderId="0" xfId="0" applyNumberFormat="1" applyFill="1"/>
    <xf numFmtId="10" fontId="0" fillId="2" borderId="0" xfId="2" applyNumberFormat="1" applyFont="1" applyFill="1"/>
    <xf numFmtId="0" fontId="0" fillId="2" borderId="0" xfId="2" applyNumberFormat="1" applyFont="1" applyFill="1"/>
    <xf numFmtId="6" fontId="0" fillId="2" borderId="0" xfId="0" applyNumberFormat="1" applyFill="1"/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0" fontId="8" fillId="2" borderId="0" xfId="0" applyNumberFormat="1" applyFont="1" applyFill="1" applyAlignment="1">
      <alignment horizontal="center" vertical="center"/>
    </xf>
    <xf numFmtId="5" fontId="8" fillId="2" borderId="0" xfId="0" applyNumberFormat="1" applyFont="1" applyFill="1" applyAlignment="1">
      <alignment horizontal="center" vertical="center"/>
    </xf>
    <xf numFmtId="9" fontId="8" fillId="2" borderId="0" xfId="2" applyFont="1" applyFill="1"/>
    <xf numFmtId="9" fontId="8" fillId="2" borderId="0" xfId="0" applyNumberFormat="1" applyFont="1" applyFill="1"/>
    <xf numFmtId="0" fontId="8" fillId="2" borderId="0" xfId="0" applyFont="1" applyFill="1"/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14" fontId="0" fillId="2" borderId="0" xfId="0" applyNumberFormat="1" applyFill="1" applyAlignment="1">
      <alignment horizontal="center" vertical="center"/>
    </xf>
    <xf numFmtId="10" fontId="0" fillId="2" borderId="0" xfId="0" applyNumberFormat="1" applyFill="1"/>
    <xf numFmtId="14" fontId="0" fillId="2" borderId="0" xfId="0" applyNumberFormat="1" applyFill="1"/>
    <xf numFmtId="4" fontId="0" fillId="2" borderId="0" xfId="0" applyNumberFormat="1" applyFill="1"/>
    <xf numFmtId="10" fontId="4" fillId="7" borderId="25" xfId="0" applyNumberFormat="1" applyFont="1" applyFill="1" applyBorder="1" applyAlignment="1">
      <alignment horizontal="center" vertical="center"/>
    </xf>
    <xf numFmtId="10" fontId="4" fillId="7" borderId="22" xfId="0" applyNumberFormat="1" applyFont="1" applyFill="1" applyBorder="1" applyAlignment="1">
      <alignment horizontal="center" vertical="center"/>
    </xf>
    <xf numFmtId="10" fontId="4" fillId="7" borderId="12" xfId="0" applyNumberFormat="1" applyFont="1" applyFill="1" applyBorder="1" applyAlignment="1">
      <alignment horizontal="center" vertical="center"/>
    </xf>
    <xf numFmtId="5" fontId="0" fillId="7" borderId="24" xfId="0" applyNumberFormat="1" applyFill="1" applyBorder="1" applyAlignment="1">
      <alignment horizontal="center" vertical="center"/>
    </xf>
    <xf numFmtId="5" fontId="0" fillId="7" borderId="21" xfId="0" applyNumberFormat="1" applyFill="1" applyBorder="1" applyAlignment="1">
      <alignment horizontal="center" vertical="center"/>
    </xf>
    <xf numFmtId="5" fontId="0" fillId="7" borderId="23" xfId="0" applyNumberFormat="1" applyFill="1" applyBorder="1" applyAlignment="1">
      <alignment horizontal="center" vertical="center"/>
    </xf>
    <xf numFmtId="6" fontId="0" fillId="7" borderId="24" xfId="0" applyNumberFormat="1" applyFill="1" applyBorder="1" applyAlignment="1">
      <alignment horizontal="center" vertical="center"/>
    </xf>
    <xf numFmtId="6" fontId="0" fillId="7" borderId="21" xfId="0" applyNumberFormat="1" applyFill="1" applyBorder="1" applyAlignment="1">
      <alignment horizontal="center" vertical="center"/>
    </xf>
    <xf numFmtId="6" fontId="0" fillId="7" borderId="23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9" fontId="0" fillId="2" borderId="2" xfId="2" applyFont="1" applyFill="1" applyBorder="1"/>
    <xf numFmtId="0" fontId="0" fillId="2" borderId="2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26" xfId="0" applyFill="1" applyBorder="1"/>
    <xf numFmtId="0" fontId="0" fillId="2" borderId="8" xfId="0" applyFill="1" applyBorder="1"/>
    <xf numFmtId="0" fontId="0" fillId="2" borderId="9" xfId="0" applyFill="1" applyBorder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6" fontId="9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6" fontId="9" fillId="2" borderId="27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1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colors>
    <mruColors>
      <color rgb="FFF9FBB7"/>
      <color rgb="FFF0F442"/>
      <color rgb="FFF5F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 sz="1000"/>
              <a:t>DISTRIBUCIÓN DE MI INGRESO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7E3-4613-9683-450EBBC9EF12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7E3-4613-9683-450EBBC9EF12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7E3-4613-9683-450EBBC9EF12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7E3-4613-9683-450EBBC9EF1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'Actividades 2025'!$AZ$4:$AZ$7</c:f>
              <c:strCache>
                <c:ptCount val="3"/>
                <c:pt idx="0">
                  <c:v>OBLIGACIONES</c:v>
                </c:pt>
                <c:pt idx="1">
                  <c:v>FUTURO FINANCIERO</c:v>
                </c:pt>
                <c:pt idx="2">
                  <c:v>GASTOS</c:v>
                </c:pt>
              </c:strCache>
            </c:strRef>
          </c:cat>
          <c:val>
            <c:numRef>
              <c:f>'Actividades 2025'!$BA$4:$BA$7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7E3-4613-9683-450EBBC9EF1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485775</xdr:colOff>
      <xdr:row>3</xdr:row>
      <xdr:rowOff>133350</xdr:rowOff>
    </xdr:from>
    <xdr:to>
      <xdr:col>10</xdr:col>
      <xdr:colOff>631385</xdr:colOff>
      <xdr:row>15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041467-2B93-CB17-FE6C-B9C8DB30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704850"/>
          <a:ext cx="395561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742951</xdr:colOff>
      <xdr:row>17</xdr:row>
      <xdr:rowOff>38100</xdr:rowOff>
    </xdr:from>
    <xdr:to>
      <xdr:col>9</xdr:col>
      <xdr:colOff>76201</xdr:colOff>
      <xdr:row>23</xdr:row>
      <xdr:rowOff>178904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1C675A-E75C-5CAA-E410-A921AA9E3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6" y="3276600"/>
          <a:ext cx="2381250" cy="1283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495300</xdr:colOff>
      <xdr:row>24</xdr:row>
      <xdr:rowOff>19050</xdr:rowOff>
    </xdr:from>
    <xdr:to>
      <xdr:col>9</xdr:col>
      <xdr:colOff>666749</xdr:colOff>
      <xdr:row>32</xdr:row>
      <xdr:rowOff>152399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EADCFCC-C96E-D077-D7CE-5E1249C5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4591050"/>
          <a:ext cx="3219449" cy="1657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266699</xdr:colOff>
      <xdr:row>33</xdr:row>
      <xdr:rowOff>85725</xdr:rowOff>
    </xdr:from>
    <xdr:to>
      <xdr:col>9</xdr:col>
      <xdr:colOff>746418</xdr:colOff>
      <xdr:row>41</xdr:row>
      <xdr:rowOff>142874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B799ED8-EAD6-20B4-617A-0A383633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4" y="6372225"/>
          <a:ext cx="3527719" cy="158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42</xdr:row>
      <xdr:rowOff>200025</xdr:rowOff>
    </xdr:from>
    <xdr:to>
      <xdr:col>10</xdr:col>
      <xdr:colOff>28575</xdr:colOff>
      <xdr:row>42</xdr:row>
      <xdr:rowOff>1614218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33788CD-26DC-4EE8-4DD5-24600110D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8201025"/>
          <a:ext cx="3686175" cy="1414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219076</xdr:colOff>
      <xdr:row>1</xdr:row>
      <xdr:rowOff>219075</xdr:rowOff>
    </xdr:from>
    <xdr:to>
      <xdr:col>11</xdr:col>
      <xdr:colOff>504826</xdr:colOff>
      <xdr:row>15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0D3525B-4E46-4F68-9B6F-B7DC704A87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ergio%20Lizcano\Documents\Tranquilidad%20sobre%20rentabilidad.xlsx" TargetMode="External"/><Relationship Id="rId1" Type="http://schemas.openxmlformats.org/officeDocument/2006/relationships/externalLinkPath" Target="/Users/Sergio%20Lizcano/Documents/Tranquilidad%20sobre%20rentabilid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vo"/>
      <sheetName val="Mis finanzas"/>
      <sheetName val="Actividades 2025"/>
      <sheetName val="Análisis S&amp;P500"/>
      <sheetName val="data S&amp;P500"/>
    </sheetNames>
    <sheetDataSet>
      <sheetData sheetId="0"/>
      <sheetData sheetId="1"/>
      <sheetData sheetId="2">
        <row r="6">
          <cell r="H6">
            <v>1100000</v>
          </cell>
          <cell r="I6">
            <v>1100000</v>
          </cell>
          <cell r="J6">
            <v>1100000</v>
          </cell>
          <cell r="K6">
            <v>1100000</v>
          </cell>
          <cell r="L6">
            <v>1100000</v>
          </cell>
          <cell r="M6">
            <v>1100000</v>
          </cell>
          <cell r="N6">
            <v>1100000</v>
          </cell>
          <cell r="O6">
            <v>1100000</v>
          </cell>
          <cell r="P6">
            <v>1100000</v>
          </cell>
          <cell r="Q6">
            <v>1100000</v>
          </cell>
          <cell r="R6">
            <v>1100000</v>
          </cell>
          <cell r="S6">
            <v>1100000</v>
          </cell>
        </row>
        <row r="11">
          <cell r="H11">
            <v>433333.33333333326</v>
          </cell>
          <cell r="I11">
            <v>1566666.6666666667</v>
          </cell>
          <cell r="J11">
            <v>1566666.6666666667</v>
          </cell>
          <cell r="K11">
            <v>700000</v>
          </cell>
          <cell r="L11">
            <v>566666.66666666674</v>
          </cell>
          <cell r="M11">
            <v>300000</v>
          </cell>
          <cell r="N11">
            <v>1566666.6666666667</v>
          </cell>
          <cell r="O11">
            <v>1566666.6666666667</v>
          </cell>
          <cell r="P11">
            <v>966666.66666666663</v>
          </cell>
          <cell r="Q11">
            <v>1566666.6666666667</v>
          </cell>
          <cell r="R11">
            <v>1566666.6666666667</v>
          </cell>
          <cell r="S11">
            <v>833333.33333333349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4795-A688-4C0E-871B-DFE2A89D0AA8}">
  <dimension ref="B1:T49"/>
  <sheetViews>
    <sheetView zoomScale="134" zoomScaleNormal="134" workbookViewId="0"/>
  </sheetViews>
  <sheetFormatPr baseColWidth="10" defaultColWidth="11.42578125" defaultRowHeight="15" x14ac:dyDescent="0.25"/>
  <cols>
    <col min="1" max="1" width="5.140625" style="20" customWidth="1"/>
    <col min="2" max="4" width="11.42578125" style="20"/>
    <col min="5" max="5" width="15.42578125" style="20" customWidth="1"/>
    <col min="6" max="18" width="11.42578125" style="20"/>
    <col min="19" max="19" width="13.140625" style="20" bestFit="1" customWidth="1"/>
    <col min="20" max="16384" width="11.42578125" style="20"/>
  </cols>
  <sheetData>
    <row r="1" spans="2:20" s="1" customFormat="1" x14ac:dyDescent="0.25">
      <c r="C1" s="22"/>
      <c r="D1" s="22"/>
      <c r="E1" s="22"/>
      <c r="F1" s="22"/>
    </row>
    <row r="2" spans="2:20" s="1" customFormat="1" ht="15" customHeight="1" x14ac:dyDescent="0.25">
      <c r="B2" s="22"/>
      <c r="C2" s="21"/>
      <c r="D2" s="88" t="s">
        <v>21</v>
      </c>
      <c r="E2" s="88"/>
      <c r="F2" s="88"/>
      <c r="G2" s="88"/>
      <c r="O2" s="24"/>
      <c r="P2" s="24"/>
      <c r="R2" s="24"/>
      <c r="T2" s="24"/>
    </row>
    <row r="3" spans="2:20" s="1" customFormat="1" x14ac:dyDescent="0.25">
      <c r="C3" s="21"/>
      <c r="D3" s="88"/>
      <c r="E3" s="88"/>
      <c r="F3" s="88"/>
      <c r="G3" s="88"/>
    </row>
    <row r="4" spans="2:20" s="1" customFormat="1" x14ac:dyDescent="0.25">
      <c r="B4" s="93" t="s">
        <v>132</v>
      </c>
      <c r="C4" s="94"/>
      <c r="D4" s="94"/>
      <c r="E4" s="94"/>
      <c r="F4" s="75"/>
      <c r="G4" s="75"/>
      <c r="H4" s="75"/>
      <c r="I4" s="75"/>
      <c r="J4" s="75"/>
      <c r="K4" s="76"/>
    </row>
    <row r="5" spans="2:20" s="1" customFormat="1" ht="15" customHeight="1" x14ac:dyDescent="0.25">
      <c r="B5" s="95"/>
      <c r="C5" s="96"/>
      <c r="D5" s="96"/>
      <c r="E5" s="96"/>
      <c r="F5" s="51"/>
      <c r="G5" s="51"/>
      <c r="H5" s="51"/>
      <c r="I5" s="51"/>
      <c r="J5" s="51"/>
      <c r="K5" s="77"/>
    </row>
    <row r="6" spans="2:20" s="1" customFormat="1" x14ac:dyDescent="0.25">
      <c r="B6" s="95"/>
      <c r="C6" s="96"/>
      <c r="D6" s="96"/>
      <c r="E6" s="96"/>
      <c r="F6" s="19"/>
      <c r="K6" s="77"/>
    </row>
    <row r="7" spans="2:20" s="1" customFormat="1" ht="15" customHeight="1" x14ac:dyDescent="0.25">
      <c r="B7" s="89" t="s">
        <v>133</v>
      </c>
      <c r="C7" s="90"/>
      <c r="D7" s="90"/>
      <c r="E7" s="90"/>
      <c r="F7" s="19"/>
      <c r="K7" s="77"/>
    </row>
    <row r="8" spans="2:20" s="1" customFormat="1" x14ac:dyDescent="0.25">
      <c r="B8" s="89"/>
      <c r="C8" s="90"/>
      <c r="D8" s="90"/>
      <c r="E8" s="90"/>
      <c r="F8" s="19"/>
      <c r="K8" s="77"/>
    </row>
    <row r="9" spans="2:20" s="1" customFormat="1" x14ac:dyDescent="0.25">
      <c r="B9" s="89"/>
      <c r="C9" s="90"/>
      <c r="D9" s="90"/>
      <c r="E9" s="90"/>
      <c r="F9" s="19"/>
      <c r="K9" s="77"/>
    </row>
    <row r="10" spans="2:20" s="1" customFormat="1" x14ac:dyDescent="0.25">
      <c r="B10" s="89"/>
      <c r="C10" s="90"/>
      <c r="D10" s="90"/>
      <c r="E10" s="90"/>
      <c r="F10" s="19"/>
      <c r="K10" s="78"/>
      <c r="L10" s="41"/>
    </row>
    <row r="11" spans="2:20" x14ac:dyDescent="0.25">
      <c r="B11" s="89"/>
      <c r="C11" s="90"/>
      <c r="D11" s="90"/>
      <c r="E11" s="90"/>
      <c r="J11" s="1"/>
      <c r="K11" s="78"/>
      <c r="L11" s="41"/>
    </row>
    <row r="12" spans="2:20" x14ac:dyDescent="0.25">
      <c r="B12" s="89"/>
      <c r="C12" s="90"/>
      <c r="D12" s="90"/>
      <c r="E12" s="90"/>
      <c r="J12" s="1"/>
      <c r="K12" s="78"/>
      <c r="L12" s="41"/>
    </row>
    <row r="13" spans="2:20" x14ac:dyDescent="0.25">
      <c r="B13" s="89"/>
      <c r="C13" s="90"/>
      <c r="D13" s="90"/>
      <c r="E13" s="90"/>
      <c r="J13" s="1"/>
      <c r="K13" s="78"/>
      <c r="L13" s="41"/>
    </row>
    <row r="14" spans="2:20" x14ac:dyDescent="0.25">
      <c r="B14" s="89"/>
      <c r="C14" s="90"/>
      <c r="D14" s="90"/>
      <c r="E14" s="90"/>
      <c r="J14" s="1"/>
      <c r="K14" s="78"/>
      <c r="L14" s="41"/>
    </row>
    <row r="15" spans="2:20" x14ac:dyDescent="0.25">
      <c r="B15" s="89"/>
      <c r="C15" s="90"/>
      <c r="D15" s="90"/>
      <c r="E15" s="90"/>
      <c r="J15" s="1"/>
      <c r="K15" s="78"/>
      <c r="L15" s="40"/>
    </row>
    <row r="16" spans="2:20" x14ac:dyDescent="0.25">
      <c r="B16" s="89"/>
      <c r="C16" s="90"/>
      <c r="D16" s="90"/>
      <c r="E16" s="90"/>
      <c r="K16" s="79"/>
    </row>
    <row r="17" spans="2:11" x14ac:dyDescent="0.25">
      <c r="B17" s="91"/>
      <c r="C17" s="92"/>
      <c r="D17" s="92"/>
      <c r="E17" s="92"/>
      <c r="F17" s="80"/>
      <c r="G17" s="80"/>
      <c r="H17" s="80"/>
      <c r="I17" s="80"/>
      <c r="J17" s="80"/>
      <c r="K17" s="81"/>
    </row>
    <row r="18" spans="2:11" ht="15" customHeight="1" x14ac:dyDescent="0.25">
      <c r="B18" s="93" t="s">
        <v>134</v>
      </c>
      <c r="C18" s="94"/>
      <c r="D18" s="94"/>
      <c r="E18" s="94"/>
      <c r="F18" s="82"/>
      <c r="G18" s="82"/>
      <c r="H18" s="82"/>
      <c r="I18" s="82"/>
      <c r="J18" s="82"/>
      <c r="K18" s="83"/>
    </row>
    <row r="19" spans="2:11" x14ac:dyDescent="0.25">
      <c r="B19" s="95"/>
      <c r="C19" s="96"/>
      <c r="D19" s="96"/>
      <c r="E19" s="96"/>
      <c r="K19" s="79"/>
    </row>
    <row r="20" spans="2:11" x14ac:dyDescent="0.25">
      <c r="B20" s="95"/>
      <c r="C20" s="96"/>
      <c r="D20" s="96"/>
      <c r="E20" s="96"/>
      <c r="K20" s="79"/>
    </row>
    <row r="21" spans="2:11" x14ac:dyDescent="0.25">
      <c r="B21" s="95"/>
      <c r="C21" s="96"/>
      <c r="D21" s="96"/>
      <c r="E21" s="96"/>
      <c r="K21" s="79"/>
    </row>
    <row r="22" spans="2:11" x14ac:dyDescent="0.25">
      <c r="B22" s="95"/>
      <c r="C22" s="96"/>
      <c r="D22" s="96"/>
      <c r="E22" s="96"/>
      <c r="K22" s="79"/>
    </row>
    <row r="23" spans="2:11" x14ac:dyDescent="0.25">
      <c r="B23" s="95"/>
      <c r="C23" s="96"/>
      <c r="D23" s="96"/>
      <c r="E23" s="96"/>
      <c r="K23" s="79"/>
    </row>
    <row r="24" spans="2:11" x14ac:dyDescent="0.25">
      <c r="B24" s="97"/>
      <c r="C24" s="98"/>
      <c r="D24" s="98"/>
      <c r="E24" s="98"/>
      <c r="F24" s="80"/>
      <c r="G24" s="80"/>
      <c r="H24" s="80"/>
      <c r="I24" s="80"/>
      <c r="J24" s="80"/>
      <c r="K24" s="81"/>
    </row>
    <row r="25" spans="2:11" ht="15" customHeight="1" x14ac:dyDescent="0.25">
      <c r="B25" s="99" t="s">
        <v>139</v>
      </c>
      <c r="C25" s="100"/>
      <c r="D25" s="100"/>
      <c r="E25" s="100"/>
      <c r="F25" s="82"/>
      <c r="G25" s="82"/>
      <c r="H25" s="82"/>
      <c r="I25" s="82"/>
      <c r="J25" s="82"/>
      <c r="K25" s="83"/>
    </row>
    <row r="26" spans="2:11" ht="15" customHeight="1" x14ac:dyDescent="0.25">
      <c r="B26" s="101"/>
      <c r="C26" s="102"/>
      <c r="D26" s="102"/>
      <c r="E26" s="102"/>
      <c r="K26" s="79"/>
    </row>
    <row r="27" spans="2:11" x14ac:dyDescent="0.25">
      <c r="B27" s="101"/>
      <c r="C27" s="102"/>
      <c r="D27" s="102"/>
      <c r="E27" s="102"/>
      <c r="K27" s="79"/>
    </row>
    <row r="28" spans="2:11" x14ac:dyDescent="0.25">
      <c r="B28" s="101"/>
      <c r="C28" s="102"/>
      <c r="D28" s="102"/>
      <c r="E28" s="102"/>
      <c r="K28" s="79"/>
    </row>
    <row r="29" spans="2:11" x14ac:dyDescent="0.25">
      <c r="B29" s="101"/>
      <c r="C29" s="102"/>
      <c r="D29" s="102"/>
      <c r="E29" s="102"/>
      <c r="K29" s="79"/>
    </row>
    <row r="30" spans="2:11" x14ac:dyDescent="0.25">
      <c r="B30" s="101"/>
      <c r="C30" s="102"/>
      <c r="D30" s="102"/>
      <c r="E30" s="102"/>
      <c r="K30" s="79"/>
    </row>
    <row r="31" spans="2:11" x14ac:dyDescent="0.25">
      <c r="B31" s="101"/>
      <c r="C31" s="102"/>
      <c r="D31" s="102"/>
      <c r="E31" s="102"/>
      <c r="K31" s="79"/>
    </row>
    <row r="32" spans="2:11" x14ac:dyDescent="0.25">
      <c r="B32" s="101"/>
      <c r="C32" s="102"/>
      <c r="D32" s="102"/>
      <c r="E32" s="102"/>
      <c r="K32" s="79"/>
    </row>
    <row r="33" spans="2:11" x14ac:dyDescent="0.25">
      <c r="B33" s="103"/>
      <c r="C33" s="104"/>
      <c r="D33" s="104"/>
      <c r="E33" s="104"/>
      <c r="F33" s="80"/>
      <c r="G33" s="80"/>
      <c r="H33" s="80"/>
      <c r="I33" s="80"/>
      <c r="J33" s="80"/>
      <c r="K33" s="81"/>
    </row>
    <row r="34" spans="2:11" ht="15" customHeight="1" x14ac:dyDescent="0.25">
      <c r="B34" s="99" t="s">
        <v>140</v>
      </c>
      <c r="C34" s="100"/>
      <c r="D34" s="100"/>
      <c r="E34" s="100"/>
      <c r="F34" s="82"/>
      <c r="G34" s="82"/>
      <c r="H34" s="82"/>
      <c r="I34" s="82"/>
      <c r="J34" s="82"/>
      <c r="K34" s="83"/>
    </row>
    <row r="35" spans="2:11" x14ac:dyDescent="0.25">
      <c r="B35" s="101"/>
      <c r="C35" s="102"/>
      <c r="D35" s="102"/>
      <c r="E35" s="102"/>
      <c r="K35" s="79"/>
    </row>
    <row r="36" spans="2:11" x14ac:dyDescent="0.25">
      <c r="B36" s="101"/>
      <c r="C36" s="102"/>
      <c r="D36" s="102"/>
      <c r="E36" s="102"/>
      <c r="K36" s="79"/>
    </row>
    <row r="37" spans="2:11" x14ac:dyDescent="0.25">
      <c r="B37" s="101"/>
      <c r="C37" s="102"/>
      <c r="D37" s="102"/>
      <c r="E37" s="102"/>
      <c r="K37" s="79"/>
    </row>
    <row r="38" spans="2:11" x14ac:dyDescent="0.25">
      <c r="B38" s="101"/>
      <c r="C38" s="102"/>
      <c r="D38" s="102"/>
      <c r="E38" s="102"/>
      <c r="K38" s="79"/>
    </row>
    <row r="39" spans="2:11" x14ac:dyDescent="0.25">
      <c r="B39" s="101"/>
      <c r="C39" s="102"/>
      <c r="D39" s="102"/>
      <c r="E39" s="102"/>
      <c r="K39" s="79"/>
    </row>
    <row r="40" spans="2:11" x14ac:dyDescent="0.25">
      <c r="B40" s="101"/>
      <c r="C40" s="102"/>
      <c r="D40" s="102"/>
      <c r="E40" s="102"/>
      <c r="K40" s="79"/>
    </row>
    <row r="41" spans="2:11" ht="15" customHeight="1" x14ac:dyDescent="0.25">
      <c r="B41" s="101"/>
      <c r="C41" s="102"/>
      <c r="D41" s="102"/>
      <c r="E41" s="102"/>
      <c r="K41" s="79"/>
    </row>
    <row r="42" spans="2:11" x14ac:dyDescent="0.25">
      <c r="B42" s="103"/>
      <c r="C42" s="104"/>
      <c r="D42" s="104"/>
      <c r="E42" s="104"/>
      <c r="F42" s="80"/>
      <c r="G42" s="80"/>
      <c r="H42" s="80"/>
      <c r="I42" s="80"/>
      <c r="J42" s="80"/>
      <c r="K42" s="81"/>
    </row>
    <row r="43" spans="2:11" ht="150" customHeight="1" x14ac:dyDescent="0.25">
      <c r="B43" s="86" t="s">
        <v>141</v>
      </c>
      <c r="C43" s="87"/>
      <c r="D43" s="87"/>
      <c r="E43" s="87"/>
      <c r="F43" s="84"/>
      <c r="G43" s="84"/>
      <c r="H43" s="84"/>
      <c r="I43" s="84"/>
      <c r="J43" s="84"/>
      <c r="K43" s="85"/>
    </row>
    <row r="44" spans="2:11" x14ac:dyDescent="0.25">
      <c r="B44" s="51"/>
      <c r="C44" s="51"/>
      <c r="D44" s="51"/>
      <c r="E44" s="51"/>
    </row>
    <row r="45" spans="2:11" x14ac:dyDescent="0.25">
      <c r="B45" s="51"/>
      <c r="C45" s="51"/>
      <c r="D45" s="51"/>
      <c r="E45" s="51"/>
    </row>
    <row r="46" spans="2:11" x14ac:dyDescent="0.25">
      <c r="B46" s="51"/>
      <c r="C46" s="51"/>
      <c r="D46" s="51"/>
      <c r="E46" s="51"/>
    </row>
    <row r="47" spans="2:11" x14ac:dyDescent="0.25">
      <c r="B47" s="51"/>
      <c r="C47" s="51"/>
      <c r="D47" s="51"/>
      <c r="E47" s="51"/>
    </row>
    <row r="48" spans="2:11" x14ac:dyDescent="0.25">
      <c r="C48" s="51"/>
      <c r="D48" s="51"/>
      <c r="E48" s="51"/>
    </row>
    <row r="49" spans="2:5" x14ac:dyDescent="0.25">
      <c r="B49" s="51"/>
      <c r="C49" s="51"/>
      <c r="D49" s="51"/>
      <c r="E49" s="51"/>
    </row>
  </sheetData>
  <mergeCells count="7">
    <mergeCell ref="B43:E43"/>
    <mergeCell ref="D2:G3"/>
    <mergeCell ref="B7:E17"/>
    <mergeCell ref="B18:E24"/>
    <mergeCell ref="B4:E6"/>
    <mergeCell ref="B25:E33"/>
    <mergeCell ref="B34:E4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EE167-7D5C-4C63-A7E4-1AD4F21A048F}">
  <dimension ref="A1:AA100"/>
  <sheetViews>
    <sheetView tabSelected="1" zoomScale="150" zoomScaleNormal="150" workbookViewId="0"/>
  </sheetViews>
  <sheetFormatPr baseColWidth="10" defaultColWidth="11.42578125" defaultRowHeight="15" x14ac:dyDescent="0.25"/>
  <cols>
    <col min="1" max="1" width="28.42578125" style="1" customWidth="1"/>
    <col min="2" max="2" width="19.85546875" style="1" customWidth="1"/>
    <col min="3" max="3" width="22.42578125" style="1" customWidth="1"/>
    <col min="4" max="4" width="4.28515625" style="1" customWidth="1"/>
    <col min="5" max="5" width="28.140625" style="1" customWidth="1"/>
    <col min="6" max="6" width="16.85546875" style="1" customWidth="1"/>
    <col min="7" max="7" width="15.28515625" style="1" customWidth="1"/>
    <col min="8" max="9" width="11.42578125" style="1"/>
    <col min="10" max="10" width="14" style="1" customWidth="1"/>
    <col min="11" max="16384" width="11.42578125" style="1"/>
  </cols>
  <sheetData>
    <row r="1" spans="1:27" x14ac:dyDescent="0.25">
      <c r="A1" s="18"/>
      <c r="B1" s="18"/>
      <c r="C1" s="18"/>
      <c r="D1" s="18"/>
      <c r="E1" s="18"/>
      <c r="AA1" s="1" t="s">
        <v>1</v>
      </c>
    </row>
    <row r="2" spans="1:27" ht="18.75" x14ac:dyDescent="0.25">
      <c r="A2" s="105" t="s">
        <v>12</v>
      </c>
      <c r="B2" s="105"/>
      <c r="C2" s="105"/>
      <c r="E2" s="105" t="s">
        <v>22</v>
      </c>
      <c r="F2" s="105"/>
      <c r="G2" s="105"/>
      <c r="AA2" s="1" t="s">
        <v>2</v>
      </c>
    </row>
    <row r="3" spans="1:27" ht="15" customHeight="1" x14ac:dyDescent="0.25">
      <c r="A3" s="12" t="s">
        <v>18</v>
      </c>
      <c r="B3" s="13" t="s">
        <v>19</v>
      </c>
      <c r="C3" s="14" t="s">
        <v>20</v>
      </c>
      <c r="E3" s="30" t="s">
        <v>0</v>
      </c>
      <c r="F3" s="31" t="str">
        <f>IFERROR(IF(F4+F5=0,"",F4+F5),"")</f>
        <v/>
      </c>
      <c r="G3" s="32"/>
      <c r="K3" s="22"/>
      <c r="AA3" s="1" t="s">
        <v>14</v>
      </c>
    </row>
    <row r="4" spans="1:27" ht="15" customHeight="1" x14ac:dyDescent="0.25">
      <c r="A4" s="2"/>
      <c r="B4" s="11"/>
      <c r="C4" s="124"/>
      <c r="E4" s="1" t="s">
        <v>1</v>
      </c>
      <c r="F4" s="5">
        <f>SUMIF('Mis finanzas'!$C$4:$C$100,'Actividades 2025'!AY4,'Mis finanzas'!$B$4:$B$100)</f>
        <v>0</v>
      </c>
      <c r="K4" s="21"/>
      <c r="AA4" s="1" t="s">
        <v>15</v>
      </c>
    </row>
    <row r="5" spans="1:27" x14ac:dyDescent="0.25">
      <c r="A5" s="2"/>
      <c r="B5" s="11"/>
      <c r="C5" s="15"/>
      <c r="E5" s="1" t="s">
        <v>2</v>
      </c>
      <c r="F5" s="5">
        <f>SUMIF('Mis finanzas'!$C$4:$C$100,'Actividades 2025'!AY5,'Mis finanzas'!$B$4:$B$100)</f>
        <v>0</v>
      </c>
      <c r="K5" s="21"/>
      <c r="AA5" s="1" t="s">
        <v>10</v>
      </c>
    </row>
    <row r="6" spans="1:27" x14ac:dyDescent="0.25">
      <c r="A6" s="2"/>
      <c r="B6" s="11"/>
      <c r="C6" s="15"/>
      <c r="E6" s="6" t="s">
        <v>7</v>
      </c>
      <c r="F6" s="7" t="str">
        <f>IFERROR(IF(F7+F8=0,"",F7+F8),"")</f>
        <v/>
      </c>
      <c r="G6" s="8" t="str">
        <f t="shared" ref="G6:G15" si="0">IFERROR(F6/$F$3,"")</f>
        <v/>
      </c>
      <c r="AA6" s="1" t="s">
        <v>11</v>
      </c>
    </row>
    <row r="7" spans="1:27" x14ac:dyDescent="0.25">
      <c r="A7" s="2"/>
      <c r="B7" s="11"/>
      <c r="C7" s="15"/>
      <c r="E7" s="1" t="s">
        <v>3</v>
      </c>
      <c r="F7" s="5">
        <f>SUMIF('Mis finanzas'!$C$4:$C$100,'Actividades 2025'!AY7,'Mis finanzas'!$B$4:$B$100)</f>
        <v>0</v>
      </c>
      <c r="G7" s="9" t="str">
        <f t="shared" si="0"/>
        <v/>
      </c>
      <c r="K7" s="18"/>
      <c r="AA7" s="1" t="s">
        <v>16</v>
      </c>
    </row>
    <row r="8" spans="1:27" x14ac:dyDescent="0.25">
      <c r="A8" s="2"/>
      <c r="B8" s="11"/>
      <c r="C8" s="15"/>
      <c r="E8" s="1" t="s">
        <v>8</v>
      </c>
      <c r="F8" s="5">
        <f>SUMIF('Mis finanzas'!$C$4:$C$100,'Actividades 2025'!AY8,'Mis finanzas'!$B$4:$B$100)</f>
        <v>0</v>
      </c>
      <c r="G8" s="9" t="str">
        <f t="shared" si="0"/>
        <v/>
      </c>
      <c r="K8" s="18"/>
      <c r="AA8" s="1" t="s">
        <v>17</v>
      </c>
    </row>
    <row r="9" spans="1:27" x14ac:dyDescent="0.25">
      <c r="A9" s="2"/>
      <c r="B9" s="11"/>
      <c r="C9" s="15"/>
      <c r="E9" s="6" t="s">
        <v>9</v>
      </c>
      <c r="F9" s="7" t="str">
        <f>IFERROR(IF(F10+F11=0,"",F10+F11),"")</f>
        <v/>
      </c>
      <c r="G9" s="8" t="str">
        <f t="shared" si="0"/>
        <v/>
      </c>
      <c r="K9" s="19"/>
    </row>
    <row r="10" spans="1:27" x14ac:dyDescent="0.25">
      <c r="A10" s="2"/>
      <c r="B10" s="11"/>
      <c r="C10" s="15"/>
      <c r="E10" s="1" t="s">
        <v>10</v>
      </c>
      <c r="F10" s="5">
        <f>SUMIF('Mis finanzas'!$C$4:$C$100,'Actividades 2025'!AY10,'Mis finanzas'!$B$4:$B$100)</f>
        <v>0</v>
      </c>
      <c r="G10" s="9" t="str">
        <f t="shared" si="0"/>
        <v/>
      </c>
      <c r="K10" s="19"/>
    </row>
    <row r="11" spans="1:27" x14ac:dyDescent="0.25">
      <c r="A11" s="2"/>
      <c r="B11" s="11"/>
      <c r="C11" s="15"/>
      <c r="E11" s="1" t="s">
        <v>11</v>
      </c>
      <c r="F11" s="5">
        <f>SUMIF('Mis finanzas'!$C$4:$C$100,'Actividades 2025'!AY11,'Mis finanzas'!$B$4:$B$100)</f>
        <v>0</v>
      </c>
      <c r="G11" s="9" t="str">
        <f t="shared" si="0"/>
        <v/>
      </c>
      <c r="K11" s="19"/>
    </row>
    <row r="12" spans="1:27" x14ac:dyDescent="0.25">
      <c r="A12" s="2"/>
      <c r="B12" s="11"/>
      <c r="C12" s="15"/>
      <c r="E12" s="6" t="s">
        <v>4</v>
      </c>
      <c r="F12" s="7" t="str">
        <f>IFERROR(IF(F13+F14=0,"",F13+F14),"")</f>
        <v/>
      </c>
      <c r="G12" s="8" t="str">
        <f t="shared" si="0"/>
        <v/>
      </c>
      <c r="K12" s="19"/>
    </row>
    <row r="13" spans="1:27" x14ac:dyDescent="0.25">
      <c r="A13" s="2"/>
      <c r="B13" s="11"/>
      <c r="C13" s="15"/>
      <c r="E13" s="1" t="s">
        <v>5</v>
      </c>
      <c r="F13" s="5">
        <f>SUMIF('Mis finanzas'!$C$4:$C$100,'Actividades 2025'!AY13,'Mis finanzas'!$B$4:$B$100)</f>
        <v>0</v>
      </c>
      <c r="G13" s="9" t="str">
        <f t="shared" si="0"/>
        <v/>
      </c>
    </row>
    <row r="14" spans="1:27" ht="15" customHeight="1" x14ac:dyDescent="0.25">
      <c r="A14" s="2"/>
      <c r="B14" s="11"/>
      <c r="C14" s="15"/>
      <c r="E14" s="1" t="s">
        <v>6</v>
      </c>
      <c r="F14" s="5">
        <f>SUMIF('Mis finanzas'!$C$4:$C$100,'Actividades 2025'!AY15,'Mis finanzas'!$B$4:$B$100)</f>
        <v>0</v>
      </c>
      <c r="G14" s="9" t="str">
        <f t="shared" si="0"/>
        <v/>
      </c>
    </row>
    <row r="15" spans="1:27" ht="15" customHeight="1" x14ac:dyDescent="0.25">
      <c r="A15" s="2"/>
      <c r="B15" s="11"/>
      <c r="C15" s="15"/>
      <c r="E15" s="33" t="str">
        <f>IF(F15="","","CAJA LIBRE")</f>
        <v/>
      </c>
      <c r="F15" s="34" t="str">
        <f>IFERROR(IF(F3-F6-F9-F12=0,"",F3-F6-F9-F12),"")</f>
        <v/>
      </c>
      <c r="G15" s="35" t="str">
        <f t="shared" si="0"/>
        <v/>
      </c>
    </row>
    <row r="16" spans="1:27" x14ac:dyDescent="0.25">
      <c r="A16" s="2"/>
      <c r="B16" s="11"/>
      <c r="C16" s="15"/>
    </row>
    <row r="17" spans="1:7" x14ac:dyDescent="0.25">
      <c r="A17" s="2"/>
      <c r="B17" s="11"/>
      <c r="C17" s="15"/>
      <c r="F17" s="10" t="s">
        <v>24</v>
      </c>
      <c r="G17" s="10" t="s">
        <v>43</v>
      </c>
    </row>
    <row r="18" spans="1:7" x14ac:dyDescent="0.25">
      <c r="A18" s="2"/>
      <c r="B18" s="11"/>
      <c r="C18" s="15"/>
      <c r="D18" s="25"/>
      <c r="E18" s="36" t="str">
        <f>CONCATENATE("FUTURO FINANCIERO (",TEXT(G9,"0.00%"),")")</f>
        <v>FUTURO FINANCIERO ()</v>
      </c>
      <c r="F18" s="28" t="str">
        <f>F9</f>
        <v/>
      </c>
      <c r="G18" s="26" t="e">
        <f>F18*12</f>
        <v>#VALUE!</v>
      </c>
    </row>
    <row r="19" spans="1:7" x14ac:dyDescent="0.25">
      <c r="A19" s="2"/>
      <c r="B19" s="11"/>
      <c r="C19" s="15"/>
      <c r="D19" s="25"/>
      <c r="E19" s="37" t="str">
        <f>CONCATENATE("GASTOS (",TEXT(G12,"0.00%"),")")</f>
        <v>GASTOS ()</v>
      </c>
      <c r="F19" s="29" t="str">
        <f>F12</f>
        <v/>
      </c>
      <c r="G19" s="27" t="e">
        <f>F19*12</f>
        <v>#VALUE!</v>
      </c>
    </row>
    <row r="20" spans="1:7" x14ac:dyDescent="0.25">
      <c r="A20" s="2"/>
      <c r="B20" s="11"/>
      <c r="C20" s="15"/>
    </row>
    <row r="21" spans="1:7" x14ac:dyDescent="0.25">
      <c r="A21" s="2"/>
      <c r="B21" s="11"/>
      <c r="C21" s="15"/>
      <c r="E21" s="19"/>
    </row>
    <row r="22" spans="1:7" x14ac:dyDescent="0.25">
      <c r="A22" s="2"/>
      <c r="B22" s="11"/>
      <c r="C22" s="15"/>
    </row>
    <row r="23" spans="1:7" x14ac:dyDescent="0.25">
      <c r="A23" s="2"/>
      <c r="B23" s="11"/>
      <c r="C23" s="15"/>
    </row>
    <row r="24" spans="1:7" x14ac:dyDescent="0.25">
      <c r="A24" s="2"/>
      <c r="B24" s="11"/>
      <c r="C24" s="15"/>
    </row>
    <row r="25" spans="1:7" x14ac:dyDescent="0.25">
      <c r="A25" s="2"/>
      <c r="B25" s="11"/>
      <c r="C25" s="15"/>
    </row>
    <row r="26" spans="1:7" x14ac:dyDescent="0.25">
      <c r="A26" s="2"/>
      <c r="B26" s="11"/>
      <c r="C26" s="15"/>
    </row>
    <row r="27" spans="1:7" x14ac:dyDescent="0.25">
      <c r="A27" s="2"/>
      <c r="B27" s="11"/>
      <c r="C27" s="15"/>
    </row>
    <row r="28" spans="1:7" x14ac:dyDescent="0.25">
      <c r="A28" s="2"/>
      <c r="B28" s="11"/>
      <c r="C28" s="15"/>
    </row>
    <row r="29" spans="1:7" x14ac:dyDescent="0.25">
      <c r="A29" s="2"/>
      <c r="B29" s="11"/>
      <c r="C29" s="15"/>
    </row>
    <row r="30" spans="1:7" x14ac:dyDescent="0.25">
      <c r="A30" s="2"/>
      <c r="B30" s="11"/>
      <c r="C30" s="15"/>
    </row>
    <row r="31" spans="1:7" x14ac:dyDescent="0.25">
      <c r="A31" s="2"/>
      <c r="B31" s="11"/>
      <c r="C31" s="15"/>
    </row>
    <row r="32" spans="1:7" x14ac:dyDescent="0.25">
      <c r="A32" s="2"/>
      <c r="B32" s="11"/>
      <c r="C32" s="15"/>
    </row>
    <row r="33" spans="1:3" x14ac:dyDescent="0.25">
      <c r="A33" s="2"/>
      <c r="B33" s="11"/>
      <c r="C33" s="15"/>
    </row>
    <row r="34" spans="1:3" x14ac:dyDescent="0.25">
      <c r="A34" s="2"/>
      <c r="B34" s="11"/>
      <c r="C34" s="15"/>
    </row>
    <row r="35" spans="1:3" x14ac:dyDescent="0.25">
      <c r="A35" s="2"/>
      <c r="B35" s="11"/>
      <c r="C35" s="15"/>
    </row>
    <row r="36" spans="1:3" x14ac:dyDescent="0.25">
      <c r="A36" s="2"/>
      <c r="B36" s="11"/>
      <c r="C36" s="15"/>
    </row>
    <row r="37" spans="1:3" x14ac:dyDescent="0.25">
      <c r="A37" s="2"/>
      <c r="B37" s="11"/>
      <c r="C37" s="15"/>
    </row>
    <row r="38" spans="1:3" x14ac:dyDescent="0.25">
      <c r="A38" s="2"/>
      <c r="B38" s="11"/>
      <c r="C38" s="15"/>
    </row>
    <row r="39" spans="1:3" x14ac:dyDescent="0.25">
      <c r="A39" s="2"/>
      <c r="B39" s="11"/>
      <c r="C39" s="15"/>
    </row>
    <row r="40" spans="1:3" x14ac:dyDescent="0.25">
      <c r="A40" s="2"/>
      <c r="B40" s="11"/>
      <c r="C40" s="15"/>
    </row>
    <row r="41" spans="1:3" x14ac:dyDescent="0.25">
      <c r="A41" s="2"/>
      <c r="B41" s="11"/>
      <c r="C41" s="15"/>
    </row>
    <row r="42" spans="1:3" x14ac:dyDescent="0.25">
      <c r="A42" s="2"/>
      <c r="B42" s="11"/>
      <c r="C42" s="15"/>
    </row>
    <row r="43" spans="1:3" x14ac:dyDescent="0.25">
      <c r="A43" s="2"/>
      <c r="B43" s="11"/>
      <c r="C43" s="15"/>
    </row>
    <row r="44" spans="1:3" x14ac:dyDescent="0.25">
      <c r="A44" s="2"/>
      <c r="B44" s="11"/>
      <c r="C44" s="15"/>
    </row>
    <row r="45" spans="1:3" x14ac:dyDescent="0.25">
      <c r="A45" s="2"/>
      <c r="B45" s="11"/>
      <c r="C45" s="15"/>
    </row>
    <row r="46" spans="1:3" x14ac:dyDescent="0.25">
      <c r="A46" s="2"/>
      <c r="B46" s="11"/>
      <c r="C46" s="15"/>
    </row>
    <row r="47" spans="1:3" x14ac:dyDescent="0.25">
      <c r="A47" s="2"/>
      <c r="B47" s="11"/>
      <c r="C47" s="15"/>
    </row>
    <row r="48" spans="1:3" x14ac:dyDescent="0.25">
      <c r="A48" s="2"/>
      <c r="B48" s="11"/>
      <c r="C48" s="15"/>
    </row>
    <row r="49" spans="1:3" x14ac:dyDescent="0.25">
      <c r="A49" s="2"/>
      <c r="B49" s="11"/>
      <c r="C49" s="15"/>
    </row>
    <row r="50" spans="1:3" x14ac:dyDescent="0.25">
      <c r="A50" s="2"/>
      <c r="B50" s="11"/>
      <c r="C50" s="15"/>
    </row>
    <row r="51" spans="1:3" x14ac:dyDescent="0.25">
      <c r="A51" s="2"/>
      <c r="B51" s="11"/>
      <c r="C51" s="15"/>
    </row>
    <row r="52" spans="1:3" x14ac:dyDescent="0.25">
      <c r="A52" s="2"/>
      <c r="B52" s="11"/>
      <c r="C52" s="15"/>
    </row>
    <row r="53" spans="1:3" x14ac:dyDescent="0.25">
      <c r="A53" s="2"/>
      <c r="B53" s="11"/>
      <c r="C53" s="15"/>
    </row>
    <row r="54" spans="1:3" x14ac:dyDescent="0.25">
      <c r="A54" s="2"/>
      <c r="B54" s="11"/>
      <c r="C54" s="15"/>
    </row>
    <row r="55" spans="1:3" x14ac:dyDescent="0.25">
      <c r="A55" s="2"/>
      <c r="B55" s="11"/>
      <c r="C55" s="15"/>
    </row>
    <row r="56" spans="1:3" x14ac:dyDescent="0.25">
      <c r="A56" s="2"/>
      <c r="B56" s="11"/>
      <c r="C56" s="15"/>
    </row>
    <row r="57" spans="1:3" x14ac:dyDescent="0.25">
      <c r="A57" s="2"/>
      <c r="B57" s="11"/>
      <c r="C57" s="15"/>
    </row>
    <row r="58" spans="1:3" x14ac:dyDescent="0.25">
      <c r="A58" s="2"/>
      <c r="B58" s="11"/>
      <c r="C58" s="15"/>
    </row>
    <row r="59" spans="1:3" x14ac:dyDescent="0.25">
      <c r="A59" s="2"/>
      <c r="B59" s="11"/>
      <c r="C59" s="15"/>
    </row>
    <row r="60" spans="1:3" x14ac:dyDescent="0.25">
      <c r="A60" s="2"/>
      <c r="B60" s="11"/>
      <c r="C60" s="15"/>
    </row>
    <row r="61" spans="1:3" x14ac:dyDescent="0.25">
      <c r="A61" s="2"/>
      <c r="B61" s="11"/>
      <c r="C61" s="15"/>
    </row>
    <row r="62" spans="1:3" x14ac:dyDescent="0.25">
      <c r="A62" s="2"/>
      <c r="B62" s="11"/>
      <c r="C62" s="15"/>
    </row>
    <row r="63" spans="1:3" x14ac:dyDescent="0.25">
      <c r="A63" s="2"/>
      <c r="B63" s="11"/>
      <c r="C63" s="15"/>
    </row>
    <row r="64" spans="1:3" x14ac:dyDescent="0.25">
      <c r="A64" s="2"/>
      <c r="B64" s="11"/>
      <c r="C64" s="15"/>
    </row>
    <row r="65" spans="1:3" x14ac:dyDescent="0.25">
      <c r="A65" s="2"/>
      <c r="B65" s="11"/>
      <c r="C65" s="15"/>
    </row>
    <row r="66" spans="1:3" x14ac:dyDescent="0.25">
      <c r="A66" s="2"/>
      <c r="B66" s="11"/>
      <c r="C66" s="15"/>
    </row>
    <row r="67" spans="1:3" x14ac:dyDescent="0.25">
      <c r="A67" s="2"/>
      <c r="B67" s="11"/>
      <c r="C67" s="15"/>
    </row>
    <row r="68" spans="1:3" x14ac:dyDescent="0.25">
      <c r="A68" s="2"/>
      <c r="B68" s="11"/>
      <c r="C68" s="15"/>
    </row>
    <row r="69" spans="1:3" x14ac:dyDescent="0.25">
      <c r="A69" s="2"/>
      <c r="B69" s="11"/>
      <c r="C69" s="15"/>
    </row>
    <row r="70" spans="1:3" x14ac:dyDescent="0.25">
      <c r="A70" s="2"/>
      <c r="B70" s="11"/>
      <c r="C70" s="15"/>
    </row>
    <row r="71" spans="1:3" x14ac:dyDescent="0.25">
      <c r="A71" s="2"/>
      <c r="B71" s="11"/>
      <c r="C71" s="15"/>
    </row>
    <row r="72" spans="1:3" x14ac:dyDescent="0.25">
      <c r="A72" s="2"/>
      <c r="B72" s="11"/>
      <c r="C72" s="15"/>
    </row>
    <row r="73" spans="1:3" x14ac:dyDescent="0.25">
      <c r="A73" s="2"/>
      <c r="B73" s="11"/>
      <c r="C73" s="15"/>
    </row>
    <row r="74" spans="1:3" x14ac:dyDescent="0.25">
      <c r="A74" s="2"/>
      <c r="B74" s="11"/>
      <c r="C74" s="15"/>
    </row>
    <row r="75" spans="1:3" x14ac:dyDescent="0.25">
      <c r="A75" s="2"/>
      <c r="B75" s="11"/>
      <c r="C75" s="15"/>
    </row>
    <row r="76" spans="1:3" x14ac:dyDescent="0.25">
      <c r="A76" s="2"/>
      <c r="B76" s="11"/>
      <c r="C76" s="15"/>
    </row>
    <row r="77" spans="1:3" x14ac:dyDescent="0.25">
      <c r="A77" s="2"/>
      <c r="B77" s="11"/>
      <c r="C77" s="15"/>
    </row>
    <row r="78" spans="1:3" x14ac:dyDescent="0.25">
      <c r="A78" s="2"/>
      <c r="B78" s="11"/>
      <c r="C78" s="15"/>
    </row>
    <row r="79" spans="1:3" x14ac:dyDescent="0.25">
      <c r="A79" s="2"/>
      <c r="B79" s="11"/>
      <c r="C79" s="15"/>
    </row>
    <row r="80" spans="1:3" x14ac:dyDescent="0.25">
      <c r="A80" s="2"/>
      <c r="B80" s="11"/>
      <c r="C80" s="15"/>
    </row>
    <row r="81" spans="1:3" x14ac:dyDescent="0.25">
      <c r="A81" s="2"/>
      <c r="B81" s="11"/>
      <c r="C81" s="15"/>
    </row>
    <row r="82" spans="1:3" x14ac:dyDescent="0.25">
      <c r="A82" s="2"/>
      <c r="B82" s="11"/>
      <c r="C82" s="15"/>
    </row>
    <row r="83" spans="1:3" x14ac:dyDescent="0.25">
      <c r="A83" s="2"/>
      <c r="B83" s="11"/>
      <c r="C83" s="15"/>
    </row>
    <row r="84" spans="1:3" x14ac:dyDescent="0.25">
      <c r="A84" s="2"/>
      <c r="B84" s="11"/>
      <c r="C84" s="15"/>
    </row>
    <row r="85" spans="1:3" x14ac:dyDescent="0.25">
      <c r="A85" s="2"/>
      <c r="B85" s="11"/>
      <c r="C85" s="15"/>
    </row>
    <row r="86" spans="1:3" x14ac:dyDescent="0.25">
      <c r="A86" s="2"/>
      <c r="B86" s="11"/>
      <c r="C86" s="15"/>
    </row>
    <row r="87" spans="1:3" x14ac:dyDescent="0.25">
      <c r="A87" s="2"/>
      <c r="B87" s="11"/>
      <c r="C87" s="15"/>
    </row>
    <row r="88" spans="1:3" x14ac:dyDescent="0.25">
      <c r="A88" s="2"/>
      <c r="B88" s="11"/>
      <c r="C88" s="15"/>
    </row>
    <row r="89" spans="1:3" x14ac:dyDescent="0.25">
      <c r="A89" s="2"/>
      <c r="B89" s="11"/>
      <c r="C89" s="15"/>
    </row>
    <row r="90" spans="1:3" x14ac:dyDescent="0.25">
      <c r="A90" s="2"/>
      <c r="B90" s="11"/>
      <c r="C90" s="15"/>
    </row>
    <row r="91" spans="1:3" x14ac:dyDescent="0.25">
      <c r="A91" s="2"/>
      <c r="B91" s="11"/>
      <c r="C91" s="15"/>
    </row>
    <row r="92" spans="1:3" x14ac:dyDescent="0.25">
      <c r="A92" s="2"/>
      <c r="B92" s="11"/>
      <c r="C92" s="15"/>
    </row>
    <row r="93" spans="1:3" x14ac:dyDescent="0.25">
      <c r="A93" s="2"/>
      <c r="B93" s="11"/>
      <c r="C93" s="15"/>
    </row>
    <row r="94" spans="1:3" x14ac:dyDescent="0.25">
      <c r="A94" s="2"/>
      <c r="B94" s="11"/>
      <c r="C94" s="15"/>
    </row>
    <row r="95" spans="1:3" x14ac:dyDescent="0.25">
      <c r="A95" s="2"/>
      <c r="B95" s="11"/>
      <c r="C95" s="15"/>
    </row>
    <row r="96" spans="1:3" x14ac:dyDescent="0.25">
      <c r="A96" s="2"/>
      <c r="B96" s="11"/>
      <c r="C96" s="15"/>
    </row>
    <row r="97" spans="1:3" x14ac:dyDescent="0.25">
      <c r="A97" s="2"/>
      <c r="B97" s="11"/>
      <c r="C97" s="15"/>
    </row>
    <row r="98" spans="1:3" x14ac:dyDescent="0.25">
      <c r="A98" s="2"/>
      <c r="B98" s="11"/>
      <c r="C98" s="15"/>
    </row>
    <row r="99" spans="1:3" x14ac:dyDescent="0.25">
      <c r="A99" s="2"/>
      <c r="B99" s="11"/>
      <c r="C99" s="15"/>
    </row>
    <row r="100" spans="1:3" x14ac:dyDescent="0.25">
      <c r="A100" s="3"/>
      <c r="B100" s="17"/>
      <c r="C100" s="16"/>
    </row>
  </sheetData>
  <mergeCells count="2">
    <mergeCell ref="E2:G2"/>
    <mergeCell ref="A2:C2"/>
  </mergeCells>
  <dataValidations count="1">
    <dataValidation type="list" allowBlank="1" showInputMessage="1" showErrorMessage="1" sqref="C4:C100" xr:uid="{69C65EB9-2025-4574-9599-D50C8028B397}">
      <formula1>$AA$1:$AA$8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29E00-BE1F-401F-A5ED-FE231859FB49}">
  <dimension ref="B1:BO58"/>
  <sheetViews>
    <sheetView zoomScaleNormal="100" workbookViewId="0">
      <selection activeCell="J28" sqref="J28"/>
    </sheetView>
  </sheetViews>
  <sheetFormatPr baseColWidth="10" defaultColWidth="11.42578125" defaultRowHeight="15" x14ac:dyDescent="0.25"/>
  <cols>
    <col min="1" max="1" width="4.42578125" style="1" customWidth="1"/>
    <col min="2" max="2" width="22" style="1" customWidth="1"/>
    <col min="3" max="3" width="14.42578125" style="1" customWidth="1"/>
    <col min="4" max="4" width="9.85546875" style="1" customWidth="1"/>
    <col min="5" max="5" width="5.85546875" style="1" customWidth="1"/>
    <col min="6" max="6" width="13.7109375" style="1" customWidth="1"/>
    <col min="7" max="7" width="21" style="1" customWidth="1"/>
    <col min="8" max="8" width="14.42578125" style="1" bestFit="1" customWidth="1"/>
    <col min="9" max="19" width="12" style="1" bestFit="1" customWidth="1"/>
    <col min="20" max="20" width="15" style="1" bestFit="1" customWidth="1"/>
    <col min="21" max="36" width="11.42578125" style="20"/>
    <col min="37" max="50" width="11.42578125" style="1"/>
    <col min="51" max="66" width="11.42578125" style="53"/>
    <col min="67" max="67" width="11.42578125" style="52"/>
    <col min="68" max="16384" width="11.42578125" style="1"/>
  </cols>
  <sheetData>
    <row r="1" spans="2:66" ht="15" customHeight="1" x14ac:dyDescent="0.25">
      <c r="C1" s="50"/>
      <c r="D1" s="50"/>
    </row>
    <row r="2" spans="2:66" ht="15" customHeight="1" x14ac:dyDescent="0.25">
      <c r="B2" s="50"/>
      <c r="C2" s="50"/>
      <c r="D2" s="50"/>
      <c r="F2" s="107" t="s">
        <v>137</v>
      </c>
      <c r="G2" s="107"/>
      <c r="H2" s="107"/>
      <c r="I2" s="107"/>
    </row>
    <row r="3" spans="2:66" ht="15" customHeight="1" x14ac:dyDescent="0.25">
      <c r="B3" s="105" t="s">
        <v>23</v>
      </c>
      <c r="C3" s="105"/>
      <c r="D3" s="105"/>
      <c r="F3" s="107"/>
      <c r="G3" s="107"/>
      <c r="H3" s="107"/>
      <c r="I3" s="107"/>
    </row>
    <row r="4" spans="2:66" x14ac:dyDescent="0.25">
      <c r="B4" s="109"/>
      <c r="C4" s="109"/>
      <c r="D4" s="109"/>
      <c r="T4" s="120" t="s">
        <v>131</v>
      </c>
      <c r="AY4" s="53" t="s">
        <v>1</v>
      </c>
      <c r="AZ4" s="53" t="str">
        <f>'Mis finanzas'!E6</f>
        <v>OBLIGACIONES</v>
      </c>
      <c r="BA4" s="54" t="str">
        <f>'Mis finanzas'!G6</f>
        <v/>
      </c>
      <c r="BB4" s="53">
        <v>1</v>
      </c>
      <c r="BC4" s="53" cm="1">
        <f t="array" ref="BC4:BC9">IFERROR(_xlfn._xlws.FILTER($BB$4:$BB$9,COUNTIF($D$6:$D$16,$BB$4:$BB$9)=0),"")</f>
        <v>1</v>
      </c>
      <c r="BD4" s="53" t="s">
        <v>24</v>
      </c>
      <c r="BE4" s="55" t="s">
        <v>46</v>
      </c>
      <c r="BF4" s="55" t="s">
        <v>47</v>
      </c>
      <c r="BG4" s="53" t="s">
        <v>26</v>
      </c>
      <c r="BH4" s="55" t="s">
        <v>48</v>
      </c>
      <c r="BI4" s="53" t="s">
        <v>49</v>
      </c>
      <c r="BJ4" s="53" t="s">
        <v>26</v>
      </c>
      <c r="BK4" s="53" t="s">
        <v>44</v>
      </c>
      <c r="BL4" s="53" t="s">
        <v>10</v>
      </c>
      <c r="BM4" s="55">
        <f>SUM(BF5:BF16)-SUMIF(BG5:BG16,"&gt;0",BH5:BH16)</f>
        <v>0</v>
      </c>
      <c r="BN4" s="53">
        <f>12-COUNTIF(BG5:BG16,"&gt;0")</f>
        <v>12</v>
      </c>
    </row>
    <row r="5" spans="2:66" ht="15.75" thickBot="1" x14ac:dyDescent="0.3">
      <c r="B5" s="12" t="s">
        <v>25</v>
      </c>
      <c r="C5" s="13" t="s">
        <v>24</v>
      </c>
      <c r="D5" s="14" t="s">
        <v>26</v>
      </c>
      <c r="F5" s="23" t="s">
        <v>42</v>
      </c>
      <c r="G5" s="23" t="s">
        <v>13</v>
      </c>
      <c r="H5" s="10" t="s">
        <v>27</v>
      </c>
      <c r="I5" s="10" t="s">
        <v>28</v>
      </c>
      <c r="J5" s="10" t="s">
        <v>29</v>
      </c>
      <c r="K5" s="10" t="s">
        <v>30</v>
      </c>
      <c r="L5" s="10" t="s">
        <v>31</v>
      </c>
      <c r="M5" s="10" t="s">
        <v>32</v>
      </c>
      <c r="N5" s="10" t="s">
        <v>33</v>
      </c>
      <c r="O5" s="10" t="s">
        <v>34</v>
      </c>
      <c r="P5" s="10" t="s">
        <v>35</v>
      </c>
      <c r="Q5" s="10" t="s">
        <v>36</v>
      </c>
      <c r="R5" s="10" t="s">
        <v>37</v>
      </c>
      <c r="S5" s="10" t="s">
        <v>38</v>
      </c>
      <c r="T5" s="120"/>
      <c r="AY5" s="53" t="s">
        <v>2</v>
      </c>
      <c r="AZ5" s="53" t="str">
        <f>'Mis finanzas'!E9</f>
        <v>FUTURO FINANCIERO</v>
      </c>
      <c r="BA5" s="54" t="str">
        <f>'Mis finanzas'!G9</f>
        <v/>
      </c>
      <c r="BB5" s="53">
        <v>2</v>
      </c>
      <c r="BC5" s="53">
        <v>2</v>
      </c>
      <c r="BD5" s="53" t="s">
        <v>27</v>
      </c>
      <c r="BE5" s="55" t="str">
        <f>'Mis finanzas'!$F$18</f>
        <v/>
      </c>
      <c r="BF5" s="55" t="str">
        <f>'Mis finanzas'!$F$19</f>
        <v/>
      </c>
      <c r="BG5" s="53" t="str">
        <f t="shared" ref="BG5:BG13" si="0">IF((SUMIF($C$6:$C$11,BD5,$D$6:$D$11))=0,"",SUMIF($C$6:$C$11,BD5,$D$6:$D$11))</f>
        <v/>
      </c>
      <c r="BH5" s="55">
        <f t="shared" ref="BH5:BH16" si="1">IF(BG5="",$BM$4/$BN$4,(1+VLOOKUP(BG5,$BJ$5:$BL$26,2,0))*BF5)</f>
        <v>0</v>
      </c>
      <c r="BI5" s="55" t="e">
        <f t="shared" ref="BI5:BI13" si="2">(BE5+BF5)-BH5</f>
        <v>#VALUE!</v>
      </c>
      <c r="BJ5" s="53">
        <v>0</v>
      </c>
      <c r="BK5" s="56">
        <f t="shared" ref="BK5:BK10" si="3">(BJ5*$BK$11)/$BJ$11</f>
        <v>0</v>
      </c>
      <c r="BL5" s="57">
        <f t="shared" ref="BL5:BL10" si="4">1-BK5</f>
        <v>1</v>
      </c>
    </row>
    <row r="6" spans="2:66" x14ac:dyDescent="0.25">
      <c r="B6" s="2"/>
      <c r="C6" s="4"/>
      <c r="D6" s="15"/>
      <c r="F6" s="112" t="s">
        <v>41</v>
      </c>
      <c r="G6" s="110" t="s">
        <v>39</v>
      </c>
      <c r="H6" s="69" t="str">
        <f>'Mis finanzas'!$F$18</f>
        <v/>
      </c>
      <c r="I6" s="70" t="str">
        <f>'Mis finanzas'!$F$18</f>
        <v/>
      </c>
      <c r="J6" s="70" t="str">
        <f>'Mis finanzas'!$F$18</f>
        <v/>
      </c>
      <c r="K6" s="70" t="str">
        <f>'Mis finanzas'!$F$18</f>
        <v/>
      </c>
      <c r="L6" s="70" t="str">
        <f>'Mis finanzas'!$F$18</f>
        <v/>
      </c>
      <c r="M6" s="70" t="str">
        <f>'Mis finanzas'!$F$18</f>
        <v/>
      </c>
      <c r="N6" s="70" t="str">
        <f>'Mis finanzas'!$F$18</f>
        <v/>
      </c>
      <c r="O6" s="70" t="str">
        <f>'Mis finanzas'!$F$18</f>
        <v/>
      </c>
      <c r="P6" s="70" t="str">
        <f>'Mis finanzas'!$F$18</f>
        <v/>
      </c>
      <c r="Q6" s="70" t="str">
        <f>'Mis finanzas'!$F$18</f>
        <v/>
      </c>
      <c r="R6" s="70" t="str">
        <f>'Mis finanzas'!$F$18</f>
        <v/>
      </c>
      <c r="S6" s="71" t="str">
        <f>'Mis finanzas'!$F$18</f>
        <v/>
      </c>
      <c r="T6" s="38">
        <f>SUM(H6:S6)</f>
        <v>0</v>
      </c>
      <c r="AZ6" s="53" t="str">
        <f>'Mis finanzas'!E12</f>
        <v>GASTOS</v>
      </c>
      <c r="BA6" s="54" t="str">
        <f>'Mis finanzas'!G12</f>
        <v/>
      </c>
      <c r="BB6" s="53">
        <v>3</v>
      </c>
      <c r="BC6" s="53">
        <v>3</v>
      </c>
      <c r="BD6" s="53" t="s">
        <v>28</v>
      </c>
      <c r="BE6" s="55" t="str">
        <f>'Mis finanzas'!$F$18</f>
        <v/>
      </c>
      <c r="BF6" s="55" t="str">
        <f>'Mis finanzas'!$F$19</f>
        <v/>
      </c>
      <c r="BG6" s="53" t="str">
        <f t="shared" si="0"/>
        <v/>
      </c>
      <c r="BH6" s="55">
        <f t="shared" si="1"/>
        <v>0</v>
      </c>
      <c r="BI6" s="55" t="e">
        <f t="shared" si="2"/>
        <v>#VALUE!</v>
      </c>
      <c r="BJ6" s="53">
        <v>1</v>
      </c>
      <c r="BK6" s="56">
        <f t="shared" si="3"/>
        <v>0.16666666666666666</v>
      </c>
      <c r="BL6" s="57">
        <f t="shared" si="4"/>
        <v>0.83333333333333337</v>
      </c>
    </row>
    <row r="7" spans="2:66" ht="15.75" thickBot="1" x14ac:dyDescent="0.3">
      <c r="B7" s="2"/>
      <c r="C7" s="4"/>
      <c r="D7" s="15"/>
      <c r="F7" s="113"/>
      <c r="G7" s="111"/>
      <c r="H7" s="66" t="str">
        <f>'Mis finanzas'!$G$9</f>
        <v/>
      </c>
      <c r="I7" s="67" t="str">
        <f>'Mis finanzas'!$G$9</f>
        <v/>
      </c>
      <c r="J7" s="67" t="str">
        <f>'Mis finanzas'!$G$9</f>
        <v/>
      </c>
      <c r="K7" s="67" t="str">
        <f>'Mis finanzas'!$G$9</f>
        <v/>
      </c>
      <c r="L7" s="67" t="str">
        <f>'Mis finanzas'!$G$9</f>
        <v/>
      </c>
      <c r="M7" s="67" t="str">
        <f>'Mis finanzas'!$G$9</f>
        <v/>
      </c>
      <c r="N7" s="67" t="str">
        <f>'Mis finanzas'!$G$9</f>
        <v/>
      </c>
      <c r="O7" s="67" t="str">
        <f>'Mis finanzas'!$G$9</f>
        <v/>
      </c>
      <c r="P7" s="67" t="str">
        <f>'Mis finanzas'!$G$9</f>
        <v/>
      </c>
      <c r="Q7" s="67" t="str">
        <f>'Mis finanzas'!$G$9</f>
        <v/>
      </c>
      <c r="R7" s="67" t="str">
        <f>'Mis finanzas'!$G$9</f>
        <v/>
      </c>
      <c r="S7" s="68" t="str">
        <f>'Mis finanzas'!$G$9</f>
        <v/>
      </c>
      <c r="T7" s="39" t="e">
        <f>T6/('Mis finanzas'!$F$3*12)</f>
        <v>#VALUE!</v>
      </c>
      <c r="AY7" s="53" t="s">
        <v>14</v>
      </c>
      <c r="AZ7" s="53" t="str">
        <f>'Mis finanzas'!E15</f>
        <v/>
      </c>
      <c r="BA7" s="54" t="str">
        <f>'Mis finanzas'!G15</f>
        <v/>
      </c>
      <c r="BB7" s="53">
        <v>4</v>
      </c>
      <c r="BC7" s="53">
        <v>4</v>
      </c>
      <c r="BD7" s="53" t="s">
        <v>29</v>
      </c>
      <c r="BE7" s="55" t="str">
        <f>'Mis finanzas'!$F$18</f>
        <v/>
      </c>
      <c r="BF7" s="55" t="str">
        <f>'Mis finanzas'!$F$19</f>
        <v/>
      </c>
      <c r="BG7" s="53" t="str">
        <f t="shared" si="0"/>
        <v/>
      </c>
      <c r="BH7" s="55">
        <f t="shared" si="1"/>
        <v>0</v>
      </c>
      <c r="BI7" s="55" t="e">
        <f t="shared" si="2"/>
        <v>#VALUE!</v>
      </c>
      <c r="BJ7" s="53">
        <v>2</v>
      </c>
      <c r="BK7" s="56">
        <f t="shared" si="3"/>
        <v>0.33333333333333331</v>
      </c>
      <c r="BL7" s="57">
        <f t="shared" si="4"/>
        <v>0.66666666666666674</v>
      </c>
    </row>
    <row r="8" spans="2:66" x14ac:dyDescent="0.25">
      <c r="B8" s="2"/>
      <c r="C8" s="4"/>
      <c r="D8" s="15"/>
      <c r="F8" s="113"/>
      <c r="G8" s="110" t="s">
        <v>40</v>
      </c>
      <c r="H8" s="69" t="str">
        <f>'Mis finanzas'!$F$19</f>
        <v/>
      </c>
      <c r="I8" s="70" t="str">
        <f>'Mis finanzas'!$F$19</f>
        <v/>
      </c>
      <c r="J8" s="70" t="str">
        <f>'Mis finanzas'!$F$19</f>
        <v/>
      </c>
      <c r="K8" s="70" t="str">
        <f>'Mis finanzas'!$F$19</f>
        <v/>
      </c>
      <c r="L8" s="70" t="str">
        <f>'Mis finanzas'!$F$19</f>
        <v/>
      </c>
      <c r="M8" s="70" t="str">
        <f>'Mis finanzas'!$F$19</f>
        <v/>
      </c>
      <c r="N8" s="70" t="str">
        <f>'Mis finanzas'!$F$19</f>
        <v/>
      </c>
      <c r="O8" s="70" t="str">
        <f>'Mis finanzas'!$F$19</f>
        <v/>
      </c>
      <c r="P8" s="70" t="str">
        <f>'Mis finanzas'!$F$19</f>
        <v/>
      </c>
      <c r="Q8" s="70" t="str">
        <f>'Mis finanzas'!$F$19</f>
        <v/>
      </c>
      <c r="R8" s="70" t="str">
        <f>'Mis finanzas'!$F$19</f>
        <v/>
      </c>
      <c r="S8" s="71" t="str">
        <f>'Mis finanzas'!$F$19</f>
        <v/>
      </c>
      <c r="T8" s="38">
        <f>SUM(H8:S8)</f>
        <v>0</v>
      </c>
      <c r="AY8" s="53" t="s">
        <v>15</v>
      </c>
      <c r="BA8" s="54"/>
      <c r="BB8" s="53">
        <v>5</v>
      </c>
      <c r="BC8" s="53">
        <v>5</v>
      </c>
      <c r="BD8" s="53" t="s">
        <v>30</v>
      </c>
      <c r="BE8" s="55" t="str">
        <f>'Mis finanzas'!$F$18</f>
        <v/>
      </c>
      <c r="BF8" s="55" t="str">
        <f>'Mis finanzas'!$F$19</f>
        <v/>
      </c>
      <c r="BG8" s="53" t="str">
        <f t="shared" si="0"/>
        <v/>
      </c>
      <c r="BH8" s="55">
        <f t="shared" si="1"/>
        <v>0</v>
      </c>
      <c r="BI8" s="55" t="e">
        <f t="shared" si="2"/>
        <v>#VALUE!</v>
      </c>
      <c r="BJ8" s="53">
        <v>3</v>
      </c>
      <c r="BK8" s="56">
        <f t="shared" si="3"/>
        <v>0.5</v>
      </c>
      <c r="BL8" s="57">
        <f t="shared" si="4"/>
        <v>0.5</v>
      </c>
    </row>
    <row r="9" spans="2:66" ht="15.75" thickBot="1" x14ac:dyDescent="0.3">
      <c r="B9" s="2"/>
      <c r="C9" s="4"/>
      <c r="D9" s="15"/>
      <c r="F9" s="114"/>
      <c r="G9" s="111"/>
      <c r="H9" s="66" t="str">
        <f>'Mis finanzas'!$G$12</f>
        <v/>
      </c>
      <c r="I9" s="67" t="str">
        <f>'Mis finanzas'!$G$12</f>
        <v/>
      </c>
      <c r="J9" s="67" t="str">
        <f>'Mis finanzas'!$G$12</f>
        <v/>
      </c>
      <c r="K9" s="67" t="str">
        <f>'Mis finanzas'!$G$12</f>
        <v/>
      </c>
      <c r="L9" s="67" t="str">
        <f>'Mis finanzas'!$G$12</f>
        <v/>
      </c>
      <c r="M9" s="67" t="str">
        <f>'Mis finanzas'!$G$12</f>
        <v/>
      </c>
      <c r="N9" s="67" t="str">
        <f>'Mis finanzas'!$G$12</f>
        <v/>
      </c>
      <c r="O9" s="67" t="str">
        <f>'Mis finanzas'!$G$12</f>
        <v/>
      </c>
      <c r="P9" s="67" t="str">
        <f>'Mis finanzas'!$G$12</f>
        <v/>
      </c>
      <c r="Q9" s="67" t="str">
        <f>'Mis finanzas'!$G$12</f>
        <v/>
      </c>
      <c r="R9" s="67" t="str">
        <f>'Mis finanzas'!$G$12</f>
        <v/>
      </c>
      <c r="S9" s="68" t="str">
        <f>'Mis finanzas'!$G$12</f>
        <v/>
      </c>
      <c r="T9" s="39" t="e">
        <f>T8/('Mis finanzas'!$F$3*12)</f>
        <v>#VALUE!</v>
      </c>
      <c r="BA9" s="54"/>
      <c r="BB9" s="53">
        <v>6</v>
      </c>
      <c r="BC9" s="53">
        <v>6</v>
      </c>
      <c r="BD9" s="53" t="s">
        <v>31</v>
      </c>
      <c r="BE9" s="55" t="str">
        <f>'Mis finanzas'!$F$18</f>
        <v/>
      </c>
      <c r="BF9" s="55" t="str">
        <f>'Mis finanzas'!$F$19</f>
        <v/>
      </c>
      <c r="BG9" s="53" t="str">
        <f t="shared" si="0"/>
        <v/>
      </c>
      <c r="BH9" s="55">
        <f t="shared" si="1"/>
        <v>0</v>
      </c>
      <c r="BI9" s="55" t="e">
        <f t="shared" si="2"/>
        <v>#VALUE!</v>
      </c>
      <c r="BJ9" s="53">
        <v>4</v>
      </c>
      <c r="BK9" s="56">
        <f t="shared" si="3"/>
        <v>0.66666666666666663</v>
      </c>
      <c r="BL9" s="57">
        <f t="shared" si="4"/>
        <v>0.33333333333333337</v>
      </c>
    </row>
    <row r="10" spans="2:66" ht="15.75" thickBot="1" x14ac:dyDescent="0.3">
      <c r="B10" s="2"/>
      <c r="C10" s="4"/>
      <c r="D10" s="15"/>
      <c r="AY10" s="53" t="s">
        <v>10</v>
      </c>
      <c r="BD10" s="53" t="s">
        <v>32</v>
      </c>
      <c r="BE10" s="55" t="str">
        <f>'Mis finanzas'!$F$18</f>
        <v/>
      </c>
      <c r="BF10" s="55" t="str">
        <f>'Mis finanzas'!$F$19</f>
        <v/>
      </c>
      <c r="BG10" s="53" t="str">
        <f t="shared" si="0"/>
        <v/>
      </c>
      <c r="BH10" s="55">
        <f t="shared" si="1"/>
        <v>0</v>
      </c>
      <c r="BI10" s="55" t="e">
        <f t="shared" si="2"/>
        <v>#VALUE!</v>
      </c>
      <c r="BJ10" s="53">
        <v>5</v>
      </c>
      <c r="BK10" s="56">
        <f t="shared" si="3"/>
        <v>0.83333333333333337</v>
      </c>
      <c r="BL10" s="57">
        <f t="shared" si="4"/>
        <v>0.16666666666666663</v>
      </c>
    </row>
    <row r="11" spans="2:66" x14ac:dyDescent="0.25">
      <c r="B11" s="3"/>
      <c r="C11" s="42"/>
      <c r="D11" s="16"/>
      <c r="F11" s="112" t="s">
        <v>135</v>
      </c>
      <c r="G11" s="110" t="s">
        <v>39</v>
      </c>
      <c r="H11" s="72" t="e">
        <f>BI5</f>
        <v>#VALUE!</v>
      </c>
      <c r="I11" s="73" t="e">
        <f>BI6</f>
        <v>#VALUE!</v>
      </c>
      <c r="J11" s="73" t="e">
        <f>BI7</f>
        <v>#VALUE!</v>
      </c>
      <c r="K11" s="73" t="e">
        <f>BI8</f>
        <v>#VALUE!</v>
      </c>
      <c r="L11" s="73" t="e">
        <f>BI9</f>
        <v>#VALUE!</v>
      </c>
      <c r="M11" s="73" t="e">
        <f>BI10</f>
        <v>#VALUE!</v>
      </c>
      <c r="N11" s="73" t="e">
        <f>BI11</f>
        <v>#VALUE!</v>
      </c>
      <c r="O11" s="73" t="e">
        <f>BI12</f>
        <v>#VALUE!</v>
      </c>
      <c r="P11" s="73" t="e">
        <f>BI13</f>
        <v>#VALUE!</v>
      </c>
      <c r="Q11" s="73" t="e">
        <f>BI14</f>
        <v>#VALUE!</v>
      </c>
      <c r="R11" s="73" t="e">
        <f>BI15</f>
        <v>#VALUE!</v>
      </c>
      <c r="S11" s="74" t="e">
        <f>BI16</f>
        <v>#VALUE!</v>
      </c>
      <c r="T11" s="38" t="e">
        <f>SUM(H11:S11)</f>
        <v>#VALUE!</v>
      </c>
      <c r="AY11" s="53" t="s">
        <v>11</v>
      </c>
      <c r="BA11" s="54"/>
      <c r="BD11" s="53" t="s">
        <v>33</v>
      </c>
      <c r="BE11" s="55" t="str">
        <f>'Mis finanzas'!$F$18</f>
        <v/>
      </c>
      <c r="BF11" s="55" t="str">
        <f>'Mis finanzas'!$F$19</f>
        <v/>
      </c>
      <c r="BG11" s="53" t="str">
        <f t="shared" si="0"/>
        <v/>
      </c>
      <c r="BH11" s="55">
        <f t="shared" si="1"/>
        <v>0</v>
      </c>
      <c r="BI11" s="55" t="e">
        <f t="shared" si="2"/>
        <v>#VALUE!</v>
      </c>
      <c r="BJ11" s="53">
        <v>6</v>
      </c>
      <c r="BK11" s="56">
        <f>(BJ11*100%)/6</f>
        <v>1</v>
      </c>
      <c r="BL11" s="57">
        <f>BK5</f>
        <v>0</v>
      </c>
    </row>
    <row r="12" spans="2:66" ht="15.75" thickBot="1" x14ac:dyDescent="0.3">
      <c r="F12" s="113"/>
      <c r="G12" s="111"/>
      <c r="H12" s="66" t="e">
        <f>H11/'Mis finanzas'!$F$3</f>
        <v>#VALUE!</v>
      </c>
      <c r="I12" s="67" t="e">
        <f>I11/'Mis finanzas'!$F$3</f>
        <v>#VALUE!</v>
      </c>
      <c r="J12" s="67" t="e">
        <f>J11/'Mis finanzas'!$F$3</f>
        <v>#VALUE!</v>
      </c>
      <c r="K12" s="67" t="e">
        <f>K11/'Mis finanzas'!$F$3</f>
        <v>#VALUE!</v>
      </c>
      <c r="L12" s="67" t="e">
        <f>L11/'Mis finanzas'!$F$3</f>
        <v>#VALUE!</v>
      </c>
      <c r="M12" s="67" t="e">
        <f>M11/'Mis finanzas'!$F$3</f>
        <v>#VALUE!</v>
      </c>
      <c r="N12" s="67" t="e">
        <f>N11/'Mis finanzas'!$F$3</f>
        <v>#VALUE!</v>
      </c>
      <c r="O12" s="67" t="e">
        <f>O11/'Mis finanzas'!$F$3</f>
        <v>#VALUE!</v>
      </c>
      <c r="P12" s="67" t="e">
        <f>P11/'Mis finanzas'!$F$3</f>
        <v>#VALUE!</v>
      </c>
      <c r="Q12" s="67" t="e">
        <f>Q11/'Mis finanzas'!$F$3</f>
        <v>#VALUE!</v>
      </c>
      <c r="R12" s="67" t="e">
        <f>R11/'Mis finanzas'!$F$3</f>
        <v>#VALUE!</v>
      </c>
      <c r="S12" s="68" t="e">
        <f>S11/'Mis finanzas'!$F$3</f>
        <v>#VALUE!</v>
      </c>
      <c r="T12" s="39" t="e">
        <f>T11/('Mis finanzas'!$F$3*12)</f>
        <v>#VALUE!</v>
      </c>
      <c r="BA12" s="54"/>
      <c r="BD12" s="53" t="s">
        <v>34</v>
      </c>
      <c r="BE12" s="55" t="str">
        <f>'Mis finanzas'!$F$18</f>
        <v/>
      </c>
      <c r="BF12" s="55" t="str">
        <f>'Mis finanzas'!$F$19</f>
        <v/>
      </c>
      <c r="BG12" s="53" t="str">
        <f t="shared" si="0"/>
        <v/>
      </c>
      <c r="BH12" s="55">
        <f t="shared" si="1"/>
        <v>0</v>
      </c>
      <c r="BI12" s="55" t="e">
        <f t="shared" si="2"/>
        <v>#VALUE!</v>
      </c>
      <c r="BJ12" s="53">
        <v>7</v>
      </c>
      <c r="BK12" s="56">
        <f t="shared" ref="BK12:BK13" si="5">(BJ12*$BK$11)/$BJ$11</f>
        <v>1.1666666666666667</v>
      </c>
      <c r="BL12" s="57">
        <f>1-BK12</f>
        <v>-0.16666666666666674</v>
      </c>
      <c r="BM12" s="58"/>
      <c r="BN12" s="58"/>
    </row>
    <row r="13" spans="2:66" x14ac:dyDescent="0.25">
      <c r="F13" s="113"/>
      <c r="G13" s="110" t="s">
        <v>40</v>
      </c>
      <c r="H13" s="72">
        <f>BH5</f>
        <v>0</v>
      </c>
      <c r="I13" s="73">
        <f>BH6</f>
        <v>0</v>
      </c>
      <c r="J13" s="73">
        <f>BH7</f>
        <v>0</v>
      </c>
      <c r="K13" s="73">
        <f>BH8</f>
        <v>0</v>
      </c>
      <c r="L13" s="73">
        <f>BH9</f>
        <v>0</v>
      </c>
      <c r="M13" s="73">
        <f>BH10</f>
        <v>0</v>
      </c>
      <c r="N13" s="73">
        <f>BH11</f>
        <v>0</v>
      </c>
      <c r="O13" s="73">
        <f>BH12</f>
        <v>0</v>
      </c>
      <c r="P13" s="73">
        <f>BH13</f>
        <v>0</v>
      </c>
      <c r="Q13" s="73">
        <f>BH14</f>
        <v>0</v>
      </c>
      <c r="R13" s="73">
        <f>BH15</f>
        <v>0</v>
      </c>
      <c r="S13" s="74">
        <f>BH16</f>
        <v>0</v>
      </c>
      <c r="T13" s="38">
        <f>SUM(H13:S13)</f>
        <v>0</v>
      </c>
      <c r="AY13" s="53" t="s">
        <v>16</v>
      </c>
      <c r="BD13" s="53" t="s">
        <v>35</v>
      </c>
      <c r="BE13" s="55" t="str">
        <f>'Mis finanzas'!$F$18</f>
        <v/>
      </c>
      <c r="BF13" s="55" t="str">
        <f>'Mis finanzas'!$F$19</f>
        <v/>
      </c>
      <c r="BG13" s="53" t="str">
        <f t="shared" si="0"/>
        <v/>
      </c>
      <c r="BH13" s="55">
        <f t="shared" si="1"/>
        <v>0</v>
      </c>
      <c r="BI13" s="55" t="e">
        <f t="shared" si="2"/>
        <v>#VALUE!</v>
      </c>
      <c r="BJ13" s="53">
        <v>8</v>
      </c>
      <c r="BK13" s="56">
        <f t="shared" si="5"/>
        <v>1.3333333333333333</v>
      </c>
      <c r="BL13" s="57">
        <f t="shared" ref="BL13" si="6">1-BK13</f>
        <v>-0.33333333333333326</v>
      </c>
      <c r="BM13" s="58"/>
      <c r="BN13" s="58"/>
    </row>
    <row r="14" spans="2:66" ht="15.75" thickBot="1" x14ac:dyDescent="0.3">
      <c r="F14" s="114"/>
      <c r="G14" s="111"/>
      <c r="H14" s="66" t="e">
        <f>H13/'Mis finanzas'!$F$3</f>
        <v>#VALUE!</v>
      </c>
      <c r="I14" s="67" t="e">
        <f>I13/'Mis finanzas'!$F$3</f>
        <v>#VALUE!</v>
      </c>
      <c r="J14" s="67" t="e">
        <f>J13/'Mis finanzas'!$F$3</f>
        <v>#VALUE!</v>
      </c>
      <c r="K14" s="67" t="e">
        <f>K13/'Mis finanzas'!$F$3</f>
        <v>#VALUE!</v>
      </c>
      <c r="L14" s="67" t="e">
        <f>L13/'Mis finanzas'!$F$3</f>
        <v>#VALUE!</v>
      </c>
      <c r="M14" s="67" t="e">
        <f>M13/'Mis finanzas'!$F$3</f>
        <v>#VALUE!</v>
      </c>
      <c r="N14" s="67" t="e">
        <f>N13/'Mis finanzas'!$F$3</f>
        <v>#VALUE!</v>
      </c>
      <c r="O14" s="67" t="e">
        <f>O13/'Mis finanzas'!$F$3</f>
        <v>#VALUE!</v>
      </c>
      <c r="P14" s="67" t="e">
        <f>P13/'Mis finanzas'!$F$3</f>
        <v>#VALUE!</v>
      </c>
      <c r="Q14" s="67" t="e">
        <f>Q13/'Mis finanzas'!$F$3</f>
        <v>#VALUE!</v>
      </c>
      <c r="R14" s="67" t="e">
        <f>R13/'Mis finanzas'!$F$3</f>
        <v>#VALUE!</v>
      </c>
      <c r="S14" s="68" t="e">
        <f>S13/'Mis finanzas'!$F$3</f>
        <v>#VALUE!</v>
      </c>
      <c r="T14" s="39" t="e">
        <f>T13/('Mis finanzas'!$F$3*12)</f>
        <v>#VALUE!</v>
      </c>
      <c r="BD14" s="53" t="s">
        <v>36</v>
      </c>
      <c r="BE14" s="55" t="str">
        <f>'Mis finanzas'!$F$18</f>
        <v/>
      </c>
      <c r="BF14" s="55" t="str">
        <f>'Mis finanzas'!$F$19</f>
        <v/>
      </c>
      <c r="BG14" s="53" t="str">
        <f>IF((SUMIF($C$6:$C$11,BD14,$D$6:$D$11))=0,"",SUMIF($C$6:$C$11,BD14,$D$6:$D$11))</f>
        <v/>
      </c>
      <c r="BH14" s="55">
        <f t="shared" si="1"/>
        <v>0</v>
      </c>
      <c r="BI14" s="55" t="e">
        <f>(BE14+BF14)-BH14</f>
        <v>#VALUE!</v>
      </c>
      <c r="BJ14" s="53">
        <v>9</v>
      </c>
      <c r="BK14" s="56">
        <f t="shared" ref="BK14:BK26" si="7">(BJ14*$BK$11)/$BJ$11</f>
        <v>1.5</v>
      </c>
      <c r="BL14" s="57">
        <f t="shared" ref="BL14:BL26" si="8">1-BK14</f>
        <v>-0.5</v>
      </c>
      <c r="BM14" s="58"/>
      <c r="BN14" s="58"/>
    </row>
    <row r="15" spans="2:66" x14ac:dyDescent="0.25">
      <c r="AY15" s="53" t="s">
        <v>17</v>
      </c>
      <c r="BD15" s="53" t="s">
        <v>37</v>
      </c>
      <c r="BE15" s="55" t="str">
        <f>'Mis finanzas'!$F$18</f>
        <v/>
      </c>
      <c r="BF15" s="55" t="str">
        <f>'Mis finanzas'!$F$19</f>
        <v/>
      </c>
      <c r="BG15" s="53" t="str">
        <f>IF((SUMIF($C$6:$C$11,BD15,$D$6:$D$11))=0,"",SUMIF($C$6:$C$11,BD15,$D$6:$D$11))</f>
        <v/>
      </c>
      <c r="BH15" s="55">
        <f t="shared" si="1"/>
        <v>0</v>
      </c>
      <c r="BI15" s="55" t="e">
        <f>(BE15+BF15)-BH15</f>
        <v>#VALUE!</v>
      </c>
      <c r="BJ15" s="53">
        <v>10</v>
      </c>
      <c r="BK15" s="56">
        <f t="shared" si="7"/>
        <v>1.6666666666666667</v>
      </c>
      <c r="BL15" s="57">
        <f t="shared" si="8"/>
        <v>-0.66666666666666674</v>
      </c>
      <c r="BM15" s="58"/>
      <c r="BN15" s="58"/>
    </row>
    <row r="16" spans="2:66" x14ac:dyDescent="0.25">
      <c r="F16" s="107" t="s">
        <v>138</v>
      </c>
      <c r="G16" s="107"/>
      <c r="H16" s="107"/>
      <c r="I16" s="107"/>
      <c r="BD16" s="53" t="s">
        <v>38</v>
      </c>
      <c r="BE16" s="55" t="str">
        <f>'Mis finanzas'!$F$18</f>
        <v/>
      </c>
      <c r="BF16" s="55" t="str">
        <f>'Mis finanzas'!$F$19</f>
        <v/>
      </c>
      <c r="BG16" s="53" t="str">
        <f>IF((SUMIF($C$6:$C$11,BD16,$D$6:$D$11))=0,"",SUMIF($C$6:$C$11,BD16,$D$6:$D$11))</f>
        <v/>
      </c>
      <c r="BH16" s="55">
        <f t="shared" si="1"/>
        <v>0</v>
      </c>
      <c r="BI16" s="55" t="e">
        <f>(BE16+BF16)-BH16</f>
        <v>#VALUE!</v>
      </c>
      <c r="BJ16" s="53">
        <v>11</v>
      </c>
      <c r="BK16" s="56">
        <f t="shared" si="7"/>
        <v>1.8333333333333333</v>
      </c>
      <c r="BL16" s="57">
        <f t="shared" si="8"/>
        <v>-0.83333333333333326</v>
      </c>
      <c r="BM16" s="58"/>
      <c r="BN16" s="58"/>
    </row>
    <row r="17" spans="6:66" x14ac:dyDescent="0.25">
      <c r="F17" s="107"/>
      <c r="G17" s="107"/>
      <c r="H17" s="107"/>
      <c r="I17" s="107"/>
      <c r="BJ17" s="53">
        <v>12</v>
      </c>
      <c r="BK17" s="56">
        <f t="shared" si="7"/>
        <v>2</v>
      </c>
      <c r="BL17" s="57">
        <f t="shared" si="8"/>
        <v>-1</v>
      </c>
      <c r="BM17" s="58"/>
      <c r="BN17" s="58"/>
    </row>
    <row r="18" spans="6:66" ht="15" customHeight="1" thickBot="1" x14ac:dyDescent="0.3">
      <c r="F18" s="23" t="s">
        <v>42</v>
      </c>
      <c r="G18" s="23" t="s">
        <v>13</v>
      </c>
      <c r="H18" s="10" t="s">
        <v>27</v>
      </c>
      <c r="I18" s="10" t="s">
        <v>28</v>
      </c>
      <c r="J18" s="10" t="s">
        <v>29</v>
      </c>
      <c r="K18" s="10" t="s">
        <v>30</v>
      </c>
      <c r="L18" s="10" t="s">
        <v>31</v>
      </c>
      <c r="M18" s="10" t="s">
        <v>32</v>
      </c>
      <c r="N18" s="10" t="s">
        <v>33</v>
      </c>
      <c r="O18" s="10" t="s">
        <v>34</v>
      </c>
      <c r="P18" s="10" t="s">
        <v>35</v>
      </c>
      <c r="Q18" s="10" t="s">
        <v>36</v>
      </c>
      <c r="R18" s="10" t="s">
        <v>37</v>
      </c>
      <c r="S18" s="10" t="s">
        <v>38</v>
      </c>
      <c r="BJ18" s="53">
        <v>13</v>
      </c>
      <c r="BK18" s="56">
        <f t="shared" si="7"/>
        <v>2.1666666666666665</v>
      </c>
      <c r="BL18" s="57">
        <f t="shared" si="8"/>
        <v>-1.1666666666666665</v>
      </c>
    </row>
    <row r="19" spans="6:66" x14ac:dyDescent="0.25">
      <c r="F19" s="121" t="s">
        <v>136</v>
      </c>
      <c r="G19" s="118" t="s">
        <v>39</v>
      </c>
      <c r="H19" s="43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5"/>
      <c r="T19" s="38">
        <f>SUM(H19:S19)</f>
        <v>0</v>
      </c>
      <c r="U19" s="106" t="str">
        <f>IF(T19=0,"",IF(T11=T19,"COMPLETADO",IF(T19&gt;T11,CONCATENATE("Ahorrarías ",TEXT(T19-T11,"$#,##0")," más que tu meta de ahorro"),IF(T19&lt;T11,CONCATENATE("Te faltarían ",TEXT(T11-T19,"$#,##0")," para completar tu meta de ahorro"),""))))</f>
        <v/>
      </c>
      <c r="V19" s="106"/>
      <c r="BJ19" s="53">
        <v>14</v>
      </c>
      <c r="BK19" s="56">
        <f t="shared" si="7"/>
        <v>2.3333333333333335</v>
      </c>
      <c r="BL19" s="57">
        <f t="shared" si="8"/>
        <v>-1.3333333333333335</v>
      </c>
    </row>
    <row r="20" spans="6:66" ht="15" customHeight="1" thickBot="1" x14ac:dyDescent="0.3">
      <c r="F20" s="122"/>
      <c r="G20" s="119"/>
      <c r="H20" s="66" t="e">
        <f>H19/'Mis finanzas'!$F$3</f>
        <v>#VALUE!</v>
      </c>
      <c r="I20" s="67" t="e">
        <f>I19/'Mis finanzas'!$F$3</f>
        <v>#VALUE!</v>
      </c>
      <c r="J20" s="67" t="e">
        <f>J19/'Mis finanzas'!$F$3</f>
        <v>#VALUE!</v>
      </c>
      <c r="K20" s="67" t="e">
        <f>K19/'Mis finanzas'!$F$3</f>
        <v>#VALUE!</v>
      </c>
      <c r="L20" s="67" t="e">
        <f>L19/'Mis finanzas'!$F$3</f>
        <v>#VALUE!</v>
      </c>
      <c r="M20" s="67" t="e">
        <f>M19/'Mis finanzas'!$F$3</f>
        <v>#VALUE!</v>
      </c>
      <c r="N20" s="67" t="e">
        <f>N19/'Mis finanzas'!$F$3</f>
        <v>#VALUE!</v>
      </c>
      <c r="O20" s="67" t="e">
        <f>O19/'Mis finanzas'!$F$3</f>
        <v>#VALUE!</v>
      </c>
      <c r="P20" s="67" t="e">
        <f>P19/'Mis finanzas'!$F$3</f>
        <v>#VALUE!</v>
      </c>
      <c r="Q20" s="67" t="e">
        <f>Q19/'Mis finanzas'!$F$3</f>
        <v>#VALUE!</v>
      </c>
      <c r="R20" s="67" t="e">
        <f>R19/'Mis finanzas'!$F$3</f>
        <v>#VALUE!</v>
      </c>
      <c r="S20" s="68" t="e">
        <f>S19/'Mis finanzas'!$F$3</f>
        <v>#VALUE!</v>
      </c>
      <c r="T20" s="39" t="e">
        <f>T19/('Mis finanzas'!$F$3*12)</f>
        <v>#VALUE!</v>
      </c>
      <c r="U20" s="106"/>
      <c r="V20" s="106"/>
      <c r="BJ20" s="53">
        <v>15</v>
      </c>
      <c r="BK20" s="56">
        <f t="shared" si="7"/>
        <v>2.5</v>
      </c>
      <c r="BL20" s="57">
        <f t="shared" si="8"/>
        <v>-1.5</v>
      </c>
    </row>
    <row r="21" spans="6:66" ht="15" customHeight="1" x14ac:dyDescent="0.25">
      <c r="F21" s="122"/>
      <c r="G21" s="118" t="s">
        <v>40</v>
      </c>
      <c r="H21" s="43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5"/>
      <c r="T21" s="38">
        <f>SUM(H21:S21)</f>
        <v>0</v>
      </c>
      <c r="U21" s="106" t="str">
        <f>IF(T21=0,"",IF(T13=T21,"COMPLETADO",IF(T21&gt;T13,CONCATENATE("Gastarías ",TEXT(T21-T13,"$#,##0")," más que tu meta de gasto"),IF(T21&lt;T13,CONCATENATE("Te faltarían ",TEXT(T13-T21,"$#,##0")," para completar tu meta de gasto"),""))))</f>
        <v/>
      </c>
      <c r="V21" s="106"/>
      <c r="BJ21" s="53">
        <v>16</v>
      </c>
      <c r="BK21" s="56">
        <f t="shared" si="7"/>
        <v>2.6666666666666665</v>
      </c>
      <c r="BL21" s="57">
        <f t="shared" si="8"/>
        <v>-1.6666666666666665</v>
      </c>
    </row>
    <row r="22" spans="6:66" ht="15.75" thickBot="1" x14ac:dyDescent="0.3">
      <c r="F22" s="123"/>
      <c r="G22" s="119"/>
      <c r="H22" s="66" t="e">
        <f>H21/'Mis finanzas'!$F$3</f>
        <v>#VALUE!</v>
      </c>
      <c r="I22" s="67" t="e">
        <f>I21/'Mis finanzas'!$F$3</f>
        <v>#VALUE!</v>
      </c>
      <c r="J22" s="67" t="e">
        <f>J21/'Mis finanzas'!$F$3</f>
        <v>#VALUE!</v>
      </c>
      <c r="K22" s="67" t="e">
        <f>K21/'Mis finanzas'!$F$3</f>
        <v>#VALUE!</v>
      </c>
      <c r="L22" s="67" t="e">
        <f>L21/'Mis finanzas'!$F$3</f>
        <v>#VALUE!</v>
      </c>
      <c r="M22" s="67" t="e">
        <f>M21/'Mis finanzas'!$F$3</f>
        <v>#VALUE!</v>
      </c>
      <c r="N22" s="67" t="e">
        <f>N21/'Mis finanzas'!$F$3</f>
        <v>#VALUE!</v>
      </c>
      <c r="O22" s="67" t="e">
        <f>O21/'Mis finanzas'!$F$3</f>
        <v>#VALUE!</v>
      </c>
      <c r="P22" s="67" t="e">
        <f>P21/'Mis finanzas'!$F$3</f>
        <v>#VALUE!</v>
      </c>
      <c r="Q22" s="67" t="e">
        <f>Q21/'Mis finanzas'!$F$3</f>
        <v>#VALUE!</v>
      </c>
      <c r="R22" s="67" t="e">
        <f>R21/'Mis finanzas'!$F$3</f>
        <v>#VALUE!</v>
      </c>
      <c r="S22" s="68" t="e">
        <f>S21/'Mis finanzas'!$F$3</f>
        <v>#VALUE!</v>
      </c>
      <c r="T22" s="39" t="e">
        <f>T21/('Mis finanzas'!$F$3*12)</f>
        <v>#VALUE!</v>
      </c>
      <c r="U22" s="106"/>
      <c r="V22" s="106"/>
      <c r="BJ22" s="53">
        <v>17</v>
      </c>
      <c r="BK22" s="56">
        <f t="shared" si="7"/>
        <v>2.8333333333333335</v>
      </c>
      <c r="BL22" s="57">
        <f t="shared" si="8"/>
        <v>-1.8333333333333335</v>
      </c>
    </row>
    <row r="23" spans="6:66" x14ac:dyDescent="0.25">
      <c r="H23" s="108" t="e">
        <f t="shared" ref="H23:S23" si="9">IF(((H6+H8)-H19-H21)=H6+H8,"",IF(((H6+H8)-H19-H21)=0,"COMPLETADO",IF(((H6+H8)-H19-H21)&lt;0,CONCATENATE("Has superado el tope mensual. Te excediste ",TEXT(-((H6+H8)-H19-H21),"$#,##0")),IF(((H6+H8)-H19-H21)&gt;0,CONCATENATE("Te quedan ",TEXT((H6+H8)-H19-H21,"$#,##0")," disponibles para alcanzar el tope mensual (",TEXT(H6+H8,"$#,##0"),")"),""))))</f>
        <v>#VALUE!</v>
      </c>
      <c r="I23" s="108" t="e">
        <f t="shared" si="9"/>
        <v>#VALUE!</v>
      </c>
      <c r="J23" s="108" t="e">
        <f t="shared" si="9"/>
        <v>#VALUE!</v>
      </c>
      <c r="K23" s="108" t="e">
        <f t="shared" si="9"/>
        <v>#VALUE!</v>
      </c>
      <c r="L23" s="108" t="e">
        <f t="shared" si="9"/>
        <v>#VALUE!</v>
      </c>
      <c r="M23" s="108" t="e">
        <f t="shared" si="9"/>
        <v>#VALUE!</v>
      </c>
      <c r="N23" s="108" t="e">
        <f t="shared" si="9"/>
        <v>#VALUE!</v>
      </c>
      <c r="O23" s="108" t="e">
        <f t="shared" si="9"/>
        <v>#VALUE!</v>
      </c>
      <c r="P23" s="108" t="e">
        <f t="shared" si="9"/>
        <v>#VALUE!</v>
      </c>
      <c r="Q23" s="108" t="e">
        <f t="shared" si="9"/>
        <v>#VALUE!</v>
      </c>
      <c r="R23" s="108" t="e">
        <f t="shared" si="9"/>
        <v>#VALUE!</v>
      </c>
      <c r="S23" s="108" t="e">
        <f t="shared" si="9"/>
        <v>#VALUE!</v>
      </c>
      <c r="BJ23" s="53">
        <v>18</v>
      </c>
      <c r="BK23" s="56">
        <f t="shared" si="7"/>
        <v>3</v>
      </c>
      <c r="BL23" s="57">
        <f t="shared" si="8"/>
        <v>-2</v>
      </c>
    </row>
    <row r="24" spans="6:66" x14ac:dyDescent="0.25"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BJ24" s="53">
        <v>19</v>
      </c>
      <c r="BK24" s="56">
        <f t="shared" si="7"/>
        <v>3.1666666666666665</v>
      </c>
      <c r="BL24" s="57">
        <f t="shared" si="8"/>
        <v>-2.1666666666666665</v>
      </c>
    </row>
    <row r="25" spans="6:66" x14ac:dyDescent="0.25"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BJ25" s="53">
        <v>20</v>
      </c>
      <c r="BK25" s="56">
        <f t="shared" si="7"/>
        <v>3.3333333333333335</v>
      </c>
      <c r="BL25" s="57">
        <f t="shared" si="8"/>
        <v>-2.3333333333333335</v>
      </c>
    </row>
    <row r="26" spans="6:66" ht="21" customHeight="1" x14ac:dyDescent="0.25"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BJ26" s="53">
        <v>21</v>
      </c>
      <c r="BK26" s="56">
        <f t="shared" si="7"/>
        <v>3.5</v>
      </c>
      <c r="BL26" s="57">
        <f t="shared" si="8"/>
        <v>-2.5</v>
      </c>
    </row>
    <row r="27" spans="6:66" ht="15.75" thickBot="1" x14ac:dyDescent="0.3">
      <c r="I27" s="24"/>
    </row>
    <row r="28" spans="6:66" x14ac:dyDescent="0.25">
      <c r="F28" s="115" t="s">
        <v>142</v>
      </c>
      <c r="G28" s="118" t="s">
        <v>39</v>
      </c>
      <c r="H28" s="43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5"/>
      <c r="T28" s="38">
        <f>SUM(H28:S28)</f>
        <v>0</v>
      </c>
      <c r="U28" s="106" t="str">
        <f>IF(T28=0,"",IF(T11=T28,"COMPLETADO",IF(T28&gt;T11,CONCATENATE("Ahorrarías ",TEXT(T28-T11,"$#,##0")," más que tu meta de ahorro"),IF(T28&lt;T11,CONCATENATE("Te faltarían ",TEXT(T11-T28,"$#,##0")," para completar tu meta de ahorro"),""))))</f>
        <v/>
      </c>
      <c r="V28" s="106"/>
    </row>
    <row r="29" spans="6:66" ht="15" customHeight="1" thickBot="1" x14ac:dyDescent="0.3">
      <c r="F29" s="116"/>
      <c r="G29" s="119"/>
      <c r="H29" s="66" t="e">
        <f>H28/'Mis finanzas'!$F$3</f>
        <v>#VALUE!</v>
      </c>
      <c r="I29" s="67" t="e">
        <f>I28/'Mis finanzas'!$F$3</f>
        <v>#VALUE!</v>
      </c>
      <c r="J29" s="67" t="e">
        <f>J28/'Mis finanzas'!$F$3</f>
        <v>#VALUE!</v>
      </c>
      <c r="K29" s="67" t="e">
        <f>K28/'Mis finanzas'!$F$3</f>
        <v>#VALUE!</v>
      </c>
      <c r="L29" s="67" t="e">
        <f>L28/'Mis finanzas'!$F$3</f>
        <v>#VALUE!</v>
      </c>
      <c r="M29" s="67" t="e">
        <f>M28/'Mis finanzas'!$F$3</f>
        <v>#VALUE!</v>
      </c>
      <c r="N29" s="67" t="e">
        <f>N28/'Mis finanzas'!$F$3</f>
        <v>#VALUE!</v>
      </c>
      <c r="O29" s="67" t="e">
        <f>O28/'Mis finanzas'!$F$3</f>
        <v>#VALUE!</v>
      </c>
      <c r="P29" s="67" t="e">
        <f>P28/'Mis finanzas'!$F$3</f>
        <v>#VALUE!</v>
      </c>
      <c r="Q29" s="67" t="e">
        <f>Q28/'Mis finanzas'!$F$3</f>
        <v>#VALUE!</v>
      </c>
      <c r="R29" s="67" t="e">
        <f>R28/'Mis finanzas'!$F$3</f>
        <v>#VALUE!</v>
      </c>
      <c r="S29" s="68" t="e">
        <f>S28/'Mis finanzas'!$F$3</f>
        <v>#VALUE!</v>
      </c>
      <c r="T29" s="39" t="e">
        <f>T28/('Mis finanzas'!$F$3*12)</f>
        <v>#VALUE!</v>
      </c>
      <c r="U29" s="106"/>
      <c r="V29" s="106"/>
    </row>
    <row r="30" spans="6:66" x14ac:dyDescent="0.25">
      <c r="F30" s="116"/>
      <c r="G30" s="118" t="s">
        <v>40</v>
      </c>
      <c r="H30" s="43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5"/>
      <c r="T30" s="38">
        <f>SUM(H30:S30)</f>
        <v>0</v>
      </c>
      <c r="U30" s="106" t="str">
        <f>IF(T30=0,"",IF(T13=T30,"COMPLETADO",IF(T30&gt;T13,CONCATENATE("Gastarías ",TEXT(T30-T13,"$#,##0")," más que tu meta de gasto"),IF(T30&lt;T13,CONCATENATE("Te faltarían ",TEXT(T13-T30,"$#,##0")," para completar tu meta de gasto"),""))))</f>
        <v/>
      </c>
      <c r="V30" s="106"/>
    </row>
    <row r="31" spans="6:66" ht="15.75" thickBot="1" x14ac:dyDescent="0.3">
      <c r="F31" s="117"/>
      <c r="G31" s="119"/>
      <c r="H31" s="66" t="e">
        <f>H30/'Mis finanzas'!$F$3</f>
        <v>#VALUE!</v>
      </c>
      <c r="I31" s="67" t="e">
        <f>I30/'Mis finanzas'!$F$3</f>
        <v>#VALUE!</v>
      </c>
      <c r="J31" s="67" t="e">
        <f>J30/'Mis finanzas'!$F$3</f>
        <v>#VALUE!</v>
      </c>
      <c r="K31" s="67" t="e">
        <f>K30/'Mis finanzas'!$F$3</f>
        <v>#VALUE!</v>
      </c>
      <c r="L31" s="67" t="e">
        <f>L30/'Mis finanzas'!$F$3</f>
        <v>#VALUE!</v>
      </c>
      <c r="M31" s="67" t="e">
        <f>M30/'Mis finanzas'!$F$3</f>
        <v>#VALUE!</v>
      </c>
      <c r="N31" s="67" t="e">
        <f>N30/'Mis finanzas'!$F$3</f>
        <v>#VALUE!</v>
      </c>
      <c r="O31" s="67" t="e">
        <f>O30/'Mis finanzas'!$F$3</f>
        <v>#VALUE!</v>
      </c>
      <c r="P31" s="67" t="e">
        <f>P30/'Mis finanzas'!$F$3</f>
        <v>#VALUE!</v>
      </c>
      <c r="Q31" s="67" t="e">
        <f>Q30/'Mis finanzas'!$F$3</f>
        <v>#VALUE!</v>
      </c>
      <c r="R31" s="67" t="e">
        <f>R30/'Mis finanzas'!$F$3</f>
        <v>#VALUE!</v>
      </c>
      <c r="S31" s="68" t="e">
        <f>S30/'Mis finanzas'!$F$3</f>
        <v>#VALUE!</v>
      </c>
      <c r="T31" s="39" t="e">
        <f>T30/('Mis finanzas'!$F$3*12)</f>
        <v>#VALUE!</v>
      </c>
      <c r="U31" s="106"/>
      <c r="V31" s="106"/>
    </row>
    <row r="32" spans="6:66" ht="15" customHeight="1" x14ac:dyDescent="0.25">
      <c r="H32" s="108" t="e">
        <f t="shared" ref="H32:S32" si="10">IF(((H6+H8)-H28-H30)=H6+H8,"",IF(((H6+H8)-H28-H30)=0,"COMPLETADO",IF(((H6+H8)-H28-H30)&lt;0,CONCATENATE("¡Ojo! superaste el tope del mes ",TEXT(-((H6+H8)-H28-H30),"$#,##0"),". Esperamos que haya sido por ingresos adicionales y no por más deudas"),IF(((H6+H8)-H28-H30)&gt;0,CONCATENATE("Te quedan ",TEXT((H6+H8)-H28-H30,"$#,##0")," disponibles para alcanzar el tope mensual (",TEXT(H6+H8,"$#,##0"),")"),""))))</f>
        <v>#VALUE!</v>
      </c>
      <c r="I32" s="108" t="e">
        <f t="shared" si="10"/>
        <v>#VALUE!</v>
      </c>
      <c r="J32" s="108" t="e">
        <f t="shared" si="10"/>
        <v>#VALUE!</v>
      </c>
      <c r="K32" s="108" t="e">
        <f t="shared" si="10"/>
        <v>#VALUE!</v>
      </c>
      <c r="L32" s="108" t="e">
        <f t="shared" si="10"/>
        <v>#VALUE!</v>
      </c>
      <c r="M32" s="108" t="e">
        <f t="shared" si="10"/>
        <v>#VALUE!</v>
      </c>
      <c r="N32" s="108" t="e">
        <f t="shared" si="10"/>
        <v>#VALUE!</v>
      </c>
      <c r="O32" s="108" t="e">
        <f t="shared" si="10"/>
        <v>#VALUE!</v>
      </c>
      <c r="P32" s="108" t="e">
        <f t="shared" si="10"/>
        <v>#VALUE!</v>
      </c>
      <c r="Q32" s="108" t="e">
        <f t="shared" si="10"/>
        <v>#VALUE!</v>
      </c>
      <c r="R32" s="108" t="e">
        <f t="shared" si="10"/>
        <v>#VALUE!</v>
      </c>
      <c r="S32" s="108" t="e">
        <f t="shared" si="10"/>
        <v>#VALUE!</v>
      </c>
    </row>
    <row r="33" spans="8:19" x14ac:dyDescent="0.25"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</row>
    <row r="34" spans="8:19" x14ac:dyDescent="0.25"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</row>
    <row r="35" spans="8:19" x14ac:dyDescent="0.25"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</row>
    <row r="36" spans="8:19" x14ac:dyDescent="0.25"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</row>
    <row r="37" spans="8:19" x14ac:dyDescent="0.25"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</row>
    <row r="38" spans="8:19" ht="18.95" customHeight="1" x14ac:dyDescent="0.25"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</row>
    <row r="40" spans="8:19" ht="15" customHeight="1" x14ac:dyDescent="0.25"/>
    <row r="41" spans="8:19" ht="15" customHeight="1" x14ac:dyDescent="0.25"/>
    <row r="49" ht="15" customHeight="1" x14ac:dyDescent="0.25"/>
    <row r="50" ht="15" customHeight="1" x14ac:dyDescent="0.25"/>
    <row r="52" ht="15" customHeight="1" x14ac:dyDescent="0.25"/>
    <row r="58" ht="15" customHeight="1" x14ac:dyDescent="0.25"/>
  </sheetData>
  <mergeCells count="44">
    <mergeCell ref="F28:F31"/>
    <mergeCell ref="G28:G29"/>
    <mergeCell ref="T4:T5"/>
    <mergeCell ref="F19:F22"/>
    <mergeCell ref="G19:G20"/>
    <mergeCell ref="G21:G22"/>
    <mergeCell ref="H23:H26"/>
    <mergeCell ref="G30:G31"/>
    <mergeCell ref="I23:I26"/>
    <mergeCell ref="J23:J26"/>
    <mergeCell ref="K23:K26"/>
    <mergeCell ref="L23:L26"/>
    <mergeCell ref="S23:S26"/>
    <mergeCell ref="B3:D4"/>
    <mergeCell ref="G13:G14"/>
    <mergeCell ref="G6:G7"/>
    <mergeCell ref="G8:G9"/>
    <mergeCell ref="F6:F9"/>
    <mergeCell ref="F11:F14"/>
    <mergeCell ref="G11:G12"/>
    <mergeCell ref="F2:I3"/>
    <mergeCell ref="U19:V20"/>
    <mergeCell ref="U21:V22"/>
    <mergeCell ref="M23:M26"/>
    <mergeCell ref="N23:N26"/>
    <mergeCell ref="O23:O26"/>
    <mergeCell ref="P23:P26"/>
    <mergeCell ref="Q23:Q26"/>
    <mergeCell ref="U28:V29"/>
    <mergeCell ref="U30:V31"/>
    <mergeCell ref="F16:I17"/>
    <mergeCell ref="O32:O38"/>
    <mergeCell ref="P32:P38"/>
    <mergeCell ref="Q32:Q38"/>
    <mergeCell ref="R32:R38"/>
    <mergeCell ref="S32:S38"/>
    <mergeCell ref="J32:J38"/>
    <mergeCell ref="K32:K38"/>
    <mergeCell ref="L32:L38"/>
    <mergeCell ref="M32:M38"/>
    <mergeCell ref="N32:N38"/>
    <mergeCell ref="H32:H38"/>
    <mergeCell ref="I32:I38"/>
    <mergeCell ref="R23:R26"/>
  </mergeCells>
  <conditionalFormatting sqref="H23:S23">
    <cfRule type="cellIs" dxfId="17" priority="28" operator="equal">
      <formula>""</formula>
    </cfRule>
    <cfRule type="cellIs" dxfId="16" priority="29" operator="equal">
      <formula>"COMPLETADO"</formula>
    </cfRule>
    <cfRule type="cellIs" dxfId="15" priority="30" operator="greaterThan">
      <formula>0</formula>
    </cfRule>
  </conditionalFormatting>
  <conditionalFormatting sqref="H32:S32">
    <cfRule type="cellIs" dxfId="14" priority="7" operator="equal">
      <formula>""</formula>
    </cfRule>
    <cfRule type="cellIs" dxfId="13" priority="8" operator="equal">
      <formula>"COMPLETADO"</formula>
    </cfRule>
    <cfRule type="cellIs" dxfId="12" priority="9" operator="greaterThan">
      <formula>0</formula>
    </cfRule>
  </conditionalFormatting>
  <conditionalFormatting sqref="U19">
    <cfRule type="cellIs" dxfId="11" priority="25" operator="equal">
      <formula>""</formula>
    </cfRule>
    <cfRule type="cellIs" dxfId="10" priority="26" operator="equal">
      <formula>"COMPLETADO"</formula>
    </cfRule>
    <cfRule type="cellIs" dxfId="9" priority="27" operator="greaterThan">
      <formula>0</formula>
    </cfRule>
  </conditionalFormatting>
  <conditionalFormatting sqref="U21">
    <cfRule type="cellIs" dxfId="8" priority="22" operator="equal">
      <formula>""</formula>
    </cfRule>
    <cfRule type="cellIs" dxfId="7" priority="23" operator="equal">
      <formula>"COMPLETADO"</formula>
    </cfRule>
    <cfRule type="cellIs" dxfId="6" priority="24" operator="greaterThan">
      <formula>0</formula>
    </cfRule>
  </conditionalFormatting>
  <conditionalFormatting sqref="U28">
    <cfRule type="cellIs" dxfId="5" priority="13" operator="equal">
      <formula>""</formula>
    </cfRule>
    <cfRule type="cellIs" dxfId="4" priority="14" operator="equal">
      <formula>"COMPLETADO"</formula>
    </cfRule>
    <cfRule type="cellIs" dxfId="3" priority="15" operator="greaterThan">
      <formula>0</formula>
    </cfRule>
  </conditionalFormatting>
  <conditionalFormatting sqref="U30">
    <cfRule type="cellIs" dxfId="2" priority="10" operator="equal">
      <formula>""</formula>
    </cfRule>
    <cfRule type="cellIs" dxfId="1" priority="11" operator="equal">
      <formula>"COMPLETADO"</formula>
    </cfRule>
    <cfRule type="cellIs" dxfId="0" priority="12" operator="greaterThan">
      <formula>0</formula>
    </cfRule>
  </conditionalFormatting>
  <dataValidations count="3">
    <dataValidation type="list" allowBlank="1" showInputMessage="1" showErrorMessage="1" sqref="D7:D11" xr:uid="{8DD3B185-6A12-44E4-88CD-979645418C72}">
      <formula1>$BC$4:$BC$16</formula1>
    </dataValidation>
    <dataValidation type="list" allowBlank="1" showInputMessage="1" showErrorMessage="1" sqref="D6" xr:uid="{D7DFA33D-B489-4FE3-82FC-1DB9882F335F}">
      <formula1>$BC$4:$BC$9</formula1>
    </dataValidation>
    <dataValidation type="list" allowBlank="1" showInputMessage="1" showErrorMessage="1" sqref="C6:C11" xr:uid="{FBBBCFBE-1309-4382-A271-BB5FEEBD7221}">
      <formula1>$BD$5:$BD$16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997BB-C2F7-4FE7-9563-E87AB4854510}">
  <dimension ref="A1:AE95"/>
  <sheetViews>
    <sheetView workbookViewId="0"/>
  </sheetViews>
  <sheetFormatPr baseColWidth="10" defaultColWidth="11.42578125" defaultRowHeight="15" x14ac:dyDescent="0.25"/>
  <cols>
    <col min="1" max="3" width="11.42578125" style="1"/>
    <col min="4" max="10" width="11.42578125" style="20"/>
    <col min="11" max="16384" width="11.42578125" style="1"/>
  </cols>
  <sheetData>
    <row r="1" spans="1:31" x14ac:dyDescent="0.25">
      <c r="A1" s="1" t="s">
        <v>45</v>
      </c>
      <c r="B1" s="1" t="s">
        <v>50</v>
      </c>
      <c r="C1" s="1" t="s">
        <v>51</v>
      </c>
      <c r="D1" s="20" t="s">
        <v>52</v>
      </c>
      <c r="E1" s="20" t="s">
        <v>53</v>
      </c>
      <c r="F1" s="20" t="s">
        <v>54</v>
      </c>
      <c r="G1" s="20" t="s">
        <v>55</v>
      </c>
      <c r="H1" s="20" t="s">
        <v>56</v>
      </c>
      <c r="I1" s="20" t="s">
        <v>57</v>
      </c>
      <c r="J1" s="20" t="s">
        <v>58</v>
      </c>
      <c r="L1" s="20" t="s">
        <v>43</v>
      </c>
      <c r="M1" s="20">
        <v>2024</v>
      </c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31" x14ac:dyDescent="0.25">
      <c r="A2" s="1" t="str">
        <f>_xlfn.CONCAT(B2,C2)</f>
        <v>diciembre2024</v>
      </c>
      <c r="B2" s="1" t="s">
        <v>59</v>
      </c>
      <c r="C2" s="1">
        <v>2024</v>
      </c>
      <c r="D2" s="64">
        <v>45303</v>
      </c>
      <c r="E2" s="65">
        <v>1379.58</v>
      </c>
      <c r="F2" s="65">
        <v>1393.62</v>
      </c>
      <c r="G2" s="65">
        <v>1402.76</v>
      </c>
      <c r="H2" s="65">
        <v>1360.4</v>
      </c>
      <c r="J2" s="63">
        <v>-8.9999999999999993E-3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31" x14ac:dyDescent="0.25">
      <c r="A3" s="1" t="str">
        <f t="shared" ref="A3:A66" si="0">_xlfn.CONCAT(B3,C3)</f>
        <v>noviembre2024</v>
      </c>
      <c r="B3" s="1" t="s">
        <v>61</v>
      </c>
      <c r="C3" s="1">
        <v>2024</v>
      </c>
      <c r="D3" s="64">
        <v>45302</v>
      </c>
      <c r="E3" s="65">
        <v>1392.13</v>
      </c>
      <c r="F3" s="65">
        <v>1357.89</v>
      </c>
      <c r="G3" s="65">
        <v>1403.73</v>
      </c>
      <c r="H3" s="65">
        <v>1327.85</v>
      </c>
      <c r="J3" s="63">
        <v>2.4799999999999999E-2</v>
      </c>
      <c r="L3" s="20" t="s">
        <v>27</v>
      </c>
      <c r="M3" s="46">
        <f>'[1]Actividades 2025'!H6</f>
        <v>1100000</v>
      </c>
      <c r="N3" s="48">
        <f>VLOOKUP(_xlfn.CONCAT(L3,$M$1),$A$2:$J$73,6,0)</f>
        <v>1195.2</v>
      </c>
      <c r="O3" s="20">
        <f>VLOOKUP(_xlfn.CONCAT(L14,M1),$A$1:$E$73,5,0)</f>
        <v>1379.58</v>
      </c>
      <c r="P3" s="47">
        <f t="shared" ref="P3:P14" si="1">(O3-N3)/O3</f>
        <v>0.13364937154786233</v>
      </c>
      <c r="Q3" s="46">
        <f t="shared" ref="Q3:Q14" si="2">M3*P3</f>
        <v>147014.30870264856</v>
      </c>
      <c r="R3" s="20"/>
      <c r="S3" s="20" t="s">
        <v>27</v>
      </c>
      <c r="T3" s="49">
        <f>'[1]Actividades 2025'!H11</f>
        <v>433333.33333333326</v>
      </c>
      <c r="U3" s="48">
        <f>N3</f>
        <v>1195.2</v>
      </c>
      <c r="V3" s="48">
        <f>O3</f>
        <v>1379.58</v>
      </c>
      <c r="W3" s="47">
        <f t="shared" ref="W3:W14" si="3">(V3-U3)/V3</f>
        <v>0.13364937154786233</v>
      </c>
      <c r="X3" s="46">
        <f t="shared" ref="X3:X14" si="4">T3*W3</f>
        <v>57914.727670740329</v>
      </c>
      <c r="Z3" s="20" t="s">
        <v>27</v>
      </c>
      <c r="AA3" s="49">
        <f>'data S&amp;P500'!AM3</f>
        <v>0</v>
      </c>
      <c r="AB3" s="48">
        <f>U3</f>
        <v>1195.2</v>
      </c>
      <c r="AC3" s="48">
        <f>V3</f>
        <v>1379.58</v>
      </c>
      <c r="AD3" s="47">
        <f t="shared" ref="AD3:AD14" si="5">(AC3-AB3)/AC3</f>
        <v>0.13364937154786233</v>
      </c>
      <c r="AE3" s="46">
        <f>AA3*AD3</f>
        <v>0</v>
      </c>
    </row>
    <row r="4" spans="1:31" x14ac:dyDescent="0.25">
      <c r="A4" s="1" t="str">
        <f t="shared" si="0"/>
        <v>octubre2024</v>
      </c>
      <c r="B4" s="1" t="s">
        <v>63</v>
      </c>
      <c r="C4" s="1">
        <v>2024</v>
      </c>
      <c r="D4" s="64">
        <v>45301</v>
      </c>
      <c r="E4" s="65">
        <v>1358.46</v>
      </c>
      <c r="F4" s="65">
        <v>1305.3699999999999</v>
      </c>
      <c r="G4" s="65">
        <v>1365.38</v>
      </c>
      <c r="H4" s="65">
        <v>1294.74</v>
      </c>
      <c r="J4" s="63">
        <v>3.8899999999999997E-2</v>
      </c>
      <c r="L4" s="20" t="s">
        <v>28</v>
      </c>
      <c r="M4" s="46">
        <f>'[1]Actividades 2025'!I6</f>
        <v>1100000</v>
      </c>
      <c r="N4" s="48">
        <f t="shared" ref="N4:N14" si="6">VLOOKUP(_xlfn.CONCAT(L4,$M$1),$A$2:$J$73,6,0)</f>
        <v>1279.43</v>
      </c>
      <c r="O4" s="20">
        <f>O3</f>
        <v>1379.58</v>
      </c>
      <c r="P4" s="47">
        <f t="shared" si="1"/>
        <v>7.2594557763957054E-2</v>
      </c>
      <c r="Q4" s="46">
        <f t="shared" si="2"/>
        <v>79854.013540352753</v>
      </c>
      <c r="R4" s="20"/>
      <c r="S4" s="20" t="s">
        <v>28</v>
      </c>
      <c r="T4" s="49">
        <f>'[1]Actividades 2025'!I11</f>
        <v>1566666.6666666667</v>
      </c>
      <c r="U4" s="48">
        <f t="shared" ref="U4:V14" si="7">N4</f>
        <v>1279.43</v>
      </c>
      <c r="V4" s="48">
        <f t="shared" si="7"/>
        <v>1379.58</v>
      </c>
      <c r="W4" s="47">
        <f t="shared" si="3"/>
        <v>7.2594557763957054E-2</v>
      </c>
      <c r="X4" s="46">
        <f t="shared" si="4"/>
        <v>113731.47383019939</v>
      </c>
      <c r="Z4" s="20" t="s">
        <v>28</v>
      </c>
      <c r="AA4" s="49">
        <f>'data S&amp;P500'!AM4</f>
        <v>0</v>
      </c>
      <c r="AB4" s="48">
        <f t="shared" ref="AB4:AC14" si="8">U4</f>
        <v>1279.43</v>
      </c>
      <c r="AC4" s="48">
        <f t="shared" si="8"/>
        <v>1379.58</v>
      </c>
      <c r="AD4" s="47">
        <f t="shared" si="5"/>
        <v>7.2594557763957054E-2</v>
      </c>
      <c r="AE4" s="46">
        <f t="shared" ref="AE4:AE14" si="9">AA4*AD4</f>
        <v>0</v>
      </c>
    </row>
    <row r="5" spans="1:31" x14ac:dyDescent="0.25">
      <c r="A5" s="1" t="str">
        <f t="shared" si="0"/>
        <v>septiembre2024</v>
      </c>
      <c r="B5" s="1" t="s">
        <v>65</v>
      </c>
      <c r="C5" s="1">
        <v>2024</v>
      </c>
      <c r="D5" s="64">
        <v>45300</v>
      </c>
      <c r="E5" s="65">
        <v>1307.5899999999999</v>
      </c>
      <c r="F5" s="65">
        <v>1361.95</v>
      </c>
      <c r="G5" s="65">
        <v>1361.95</v>
      </c>
      <c r="H5" s="65">
        <v>1303.74</v>
      </c>
      <c r="J5" s="63">
        <v>-2.4E-2</v>
      </c>
      <c r="L5" s="20" t="s">
        <v>29</v>
      </c>
      <c r="M5" s="46">
        <f>'[1]Actividades 2025'!J6</f>
        <v>1100000</v>
      </c>
      <c r="N5" s="48">
        <f t="shared" si="6"/>
        <v>1274.1600000000001</v>
      </c>
      <c r="O5" s="20">
        <f t="shared" ref="O5:O14" si="10">O4</f>
        <v>1379.58</v>
      </c>
      <c r="P5" s="47">
        <f t="shared" si="1"/>
        <v>7.6414560953333516E-2</v>
      </c>
      <c r="Q5" s="46">
        <f t="shared" si="2"/>
        <v>84056.017048666865</v>
      </c>
      <c r="R5" s="20"/>
      <c r="S5" s="20" t="s">
        <v>29</v>
      </c>
      <c r="T5" s="49">
        <f>'[1]Actividades 2025'!J11</f>
        <v>1566666.6666666667</v>
      </c>
      <c r="U5" s="48">
        <f t="shared" si="7"/>
        <v>1274.1600000000001</v>
      </c>
      <c r="V5" s="48">
        <f t="shared" si="7"/>
        <v>1379.58</v>
      </c>
      <c r="W5" s="47">
        <f t="shared" si="3"/>
        <v>7.6414560953333516E-2</v>
      </c>
      <c r="X5" s="46">
        <f t="shared" si="4"/>
        <v>119716.14549355584</v>
      </c>
      <c r="Z5" s="20" t="s">
        <v>29</v>
      </c>
      <c r="AA5" s="49">
        <f>'data S&amp;P500'!AM5</f>
        <v>0</v>
      </c>
      <c r="AB5" s="48">
        <f t="shared" si="8"/>
        <v>1274.1600000000001</v>
      </c>
      <c r="AC5" s="48">
        <f t="shared" si="8"/>
        <v>1379.58</v>
      </c>
      <c r="AD5" s="47">
        <f t="shared" si="5"/>
        <v>7.6414560953333516E-2</v>
      </c>
      <c r="AE5" s="46">
        <f t="shared" si="9"/>
        <v>0</v>
      </c>
    </row>
    <row r="6" spans="1:31" x14ac:dyDescent="0.25">
      <c r="A6" s="1" t="str">
        <f t="shared" si="0"/>
        <v>agosto2024</v>
      </c>
      <c r="B6" s="1" t="s">
        <v>67</v>
      </c>
      <c r="C6" s="1">
        <v>2024</v>
      </c>
      <c r="D6" s="64">
        <v>45299</v>
      </c>
      <c r="E6" s="65">
        <v>1339.79</v>
      </c>
      <c r="F6" s="65">
        <v>1345.7</v>
      </c>
      <c r="G6" s="65">
        <v>1362.85</v>
      </c>
      <c r="H6" s="65">
        <v>1272.05</v>
      </c>
      <c r="J6" s="63">
        <v>-6.6E-3</v>
      </c>
      <c r="L6" s="20" t="s">
        <v>30</v>
      </c>
      <c r="M6" s="46">
        <f>'[1]Actividades 2025'!K6</f>
        <v>1100000</v>
      </c>
      <c r="N6" s="48">
        <f t="shared" si="6"/>
        <v>1337.49</v>
      </c>
      <c r="O6" s="20">
        <f t="shared" si="10"/>
        <v>1379.58</v>
      </c>
      <c r="P6" s="47">
        <f t="shared" si="1"/>
        <v>3.0509285434697459E-2</v>
      </c>
      <c r="Q6" s="46">
        <f t="shared" si="2"/>
        <v>33560.213978167209</v>
      </c>
      <c r="R6" s="20"/>
      <c r="S6" s="20" t="s">
        <v>30</v>
      </c>
      <c r="T6" s="49">
        <f>'[1]Actividades 2025'!K11</f>
        <v>700000</v>
      </c>
      <c r="U6" s="48">
        <f t="shared" si="7"/>
        <v>1337.49</v>
      </c>
      <c r="V6" s="48">
        <f t="shared" si="7"/>
        <v>1379.58</v>
      </c>
      <c r="W6" s="47">
        <f t="shared" si="3"/>
        <v>3.0509285434697459E-2</v>
      </c>
      <c r="X6" s="46">
        <f t="shared" si="4"/>
        <v>21356.499804288222</v>
      </c>
      <c r="Z6" s="20" t="s">
        <v>30</v>
      </c>
      <c r="AA6" s="49">
        <f>'data S&amp;P500'!AM6</f>
        <v>0</v>
      </c>
      <c r="AB6" s="48">
        <f t="shared" si="8"/>
        <v>1337.49</v>
      </c>
      <c r="AC6" s="48">
        <f t="shared" si="8"/>
        <v>1379.58</v>
      </c>
      <c r="AD6" s="47">
        <f t="shared" si="5"/>
        <v>3.0509285434697459E-2</v>
      </c>
      <c r="AE6" s="46">
        <f t="shared" si="9"/>
        <v>0</v>
      </c>
    </row>
    <row r="7" spans="1:31" x14ac:dyDescent="0.25">
      <c r="A7" s="1" t="str">
        <f t="shared" si="0"/>
        <v>julio2024</v>
      </c>
      <c r="B7" s="1" t="s">
        <v>69</v>
      </c>
      <c r="C7" s="1">
        <v>2024</v>
      </c>
      <c r="D7" s="64">
        <v>45298</v>
      </c>
      <c r="E7" s="65">
        <v>1348.69</v>
      </c>
      <c r="F7" s="65">
        <v>1381.32</v>
      </c>
      <c r="G7" s="65">
        <v>1390.05</v>
      </c>
      <c r="H7" s="65">
        <v>1332.96</v>
      </c>
      <c r="J7" s="63">
        <v>-2.4299999999999999E-2</v>
      </c>
      <c r="L7" s="20" t="s">
        <v>31</v>
      </c>
      <c r="M7" s="46">
        <f>'[1]Actividades 2025'!L6</f>
        <v>1100000</v>
      </c>
      <c r="N7" s="48">
        <f t="shared" si="6"/>
        <v>1356.44</v>
      </c>
      <c r="O7" s="20">
        <f t="shared" si="10"/>
        <v>1379.58</v>
      </c>
      <c r="P7" s="47">
        <f t="shared" si="1"/>
        <v>1.6773220835326601E-2</v>
      </c>
      <c r="Q7" s="46">
        <f t="shared" si="2"/>
        <v>18450.542918859261</v>
      </c>
      <c r="R7" s="20"/>
      <c r="S7" s="20" t="s">
        <v>31</v>
      </c>
      <c r="T7" s="49">
        <f>'[1]Actividades 2025'!L11</f>
        <v>566666.66666666674</v>
      </c>
      <c r="U7" s="48">
        <f t="shared" si="7"/>
        <v>1356.44</v>
      </c>
      <c r="V7" s="48">
        <f t="shared" si="7"/>
        <v>1379.58</v>
      </c>
      <c r="W7" s="47">
        <f t="shared" si="3"/>
        <v>1.6773220835326601E-2</v>
      </c>
      <c r="X7" s="46">
        <f t="shared" si="4"/>
        <v>9504.825140018409</v>
      </c>
      <c r="Z7" s="20" t="s">
        <v>31</v>
      </c>
      <c r="AA7" s="49">
        <f>'data S&amp;P500'!AM7</f>
        <v>0</v>
      </c>
      <c r="AB7" s="48">
        <f t="shared" si="8"/>
        <v>1356.44</v>
      </c>
      <c r="AC7" s="48">
        <f t="shared" si="8"/>
        <v>1379.58</v>
      </c>
      <c r="AD7" s="47">
        <f t="shared" si="5"/>
        <v>1.6773220835326601E-2</v>
      </c>
      <c r="AE7" s="46">
        <f t="shared" si="9"/>
        <v>0</v>
      </c>
    </row>
    <row r="8" spans="1:31" x14ac:dyDescent="0.25">
      <c r="A8" s="1" t="str">
        <f t="shared" si="0"/>
        <v>junio2024</v>
      </c>
      <c r="B8" s="1" t="s">
        <v>71</v>
      </c>
      <c r="C8" s="1">
        <v>2024</v>
      </c>
      <c r="D8" s="64">
        <v>45297</v>
      </c>
      <c r="E8" s="65">
        <v>1382.29</v>
      </c>
      <c r="F8" s="65">
        <v>1399.94</v>
      </c>
      <c r="G8" s="65">
        <v>1416.87</v>
      </c>
      <c r="H8" s="65">
        <v>1363.7</v>
      </c>
      <c r="J8" s="63">
        <v>-1.2500000000000001E-2</v>
      </c>
      <c r="L8" s="20" t="s">
        <v>32</v>
      </c>
      <c r="M8" s="46">
        <f>'[1]Actividades 2025'!M6</f>
        <v>1100000</v>
      </c>
      <c r="N8" s="48">
        <f t="shared" si="6"/>
        <v>1399.94</v>
      </c>
      <c r="O8" s="20">
        <f t="shared" si="10"/>
        <v>1379.58</v>
      </c>
      <c r="P8" s="47">
        <f t="shared" si="1"/>
        <v>-1.4758114788558929E-2</v>
      </c>
      <c r="Q8" s="46">
        <f t="shared" si="2"/>
        <v>-16233.926267414821</v>
      </c>
      <c r="R8" s="20"/>
      <c r="S8" s="20" t="s">
        <v>32</v>
      </c>
      <c r="T8" s="49">
        <f>'[1]Actividades 2025'!M11</f>
        <v>300000</v>
      </c>
      <c r="U8" s="48">
        <f t="shared" si="7"/>
        <v>1399.94</v>
      </c>
      <c r="V8" s="48">
        <f t="shared" si="7"/>
        <v>1379.58</v>
      </c>
      <c r="W8" s="47">
        <f t="shared" si="3"/>
        <v>-1.4758114788558929E-2</v>
      </c>
      <c r="X8" s="46">
        <f t="shared" si="4"/>
        <v>-4427.4344365676789</v>
      </c>
      <c r="Z8" s="20" t="s">
        <v>32</v>
      </c>
      <c r="AA8" s="49">
        <f>'data S&amp;P500'!AM8</f>
        <v>0</v>
      </c>
      <c r="AB8" s="48">
        <f t="shared" si="8"/>
        <v>1399.94</v>
      </c>
      <c r="AC8" s="48">
        <f t="shared" si="8"/>
        <v>1379.58</v>
      </c>
      <c r="AD8" s="47">
        <f t="shared" si="5"/>
        <v>-1.4758114788558929E-2</v>
      </c>
      <c r="AE8" s="46">
        <f t="shared" si="9"/>
        <v>0</v>
      </c>
    </row>
    <row r="9" spans="1:31" x14ac:dyDescent="0.25">
      <c r="A9" s="1" t="str">
        <f t="shared" si="0"/>
        <v>mayo2024</v>
      </c>
      <c r="B9" s="1" t="s">
        <v>73</v>
      </c>
      <c r="C9" s="1">
        <v>2024</v>
      </c>
      <c r="D9" s="64">
        <v>45296</v>
      </c>
      <c r="E9" s="65">
        <v>1399.72</v>
      </c>
      <c r="F9" s="65">
        <v>1356.44</v>
      </c>
      <c r="G9" s="65">
        <v>1451.31</v>
      </c>
      <c r="H9" s="65">
        <v>1356.01</v>
      </c>
      <c r="J9" s="63">
        <v>2.2800000000000001E-2</v>
      </c>
      <c r="L9" s="20" t="s">
        <v>33</v>
      </c>
      <c r="M9" s="46">
        <f>'[1]Actividades 2025'!N6</f>
        <v>1100000</v>
      </c>
      <c r="N9" s="48">
        <f t="shared" si="6"/>
        <v>1381.32</v>
      </c>
      <c r="O9" s="20">
        <f t="shared" si="10"/>
        <v>1379.58</v>
      </c>
      <c r="P9" s="47">
        <f t="shared" si="1"/>
        <v>-1.2612534249554278E-3</v>
      </c>
      <c r="Q9" s="46">
        <f t="shared" si="2"/>
        <v>-1387.3787674509706</v>
      </c>
      <c r="R9" s="20"/>
      <c r="S9" s="20" t="s">
        <v>33</v>
      </c>
      <c r="T9" s="49">
        <f>'[1]Actividades 2025'!N11</f>
        <v>1566666.6666666667</v>
      </c>
      <c r="U9" s="48">
        <f t="shared" si="7"/>
        <v>1381.32</v>
      </c>
      <c r="V9" s="48">
        <f t="shared" si="7"/>
        <v>1379.58</v>
      </c>
      <c r="W9" s="47">
        <f t="shared" si="3"/>
        <v>-1.2612534249554278E-3</v>
      </c>
      <c r="X9" s="46">
        <f t="shared" si="4"/>
        <v>-1975.963699096837</v>
      </c>
      <c r="Z9" s="20" t="s">
        <v>33</v>
      </c>
      <c r="AA9" s="49">
        <f>'data S&amp;P500'!AM9</f>
        <v>0</v>
      </c>
      <c r="AB9" s="48">
        <f t="shared" si="8"/>
        <v>1381.32</v>
      </c>
      <c r="AC9" s="48">
        <f t="shared" si="8"/>
        <v>1379.58</v>
      </c>
      <c r="AD9" s="47">
        <f t="shared" si="5"/>
        <v>-1.2612534249554278E-3</v>
      </c>
      <c r="AE9" s="46">
        <f t="shared" si="9"/>
        <v>0</v>
      </c>
    </row>
    <row r="10" spans="1:31" x14ac:dyDescent="0.25">
      <c r="A10" s="1" t="str">
        <f t="shared" si="0"/>
        <v>abril2024</v>
      </c>
      <c r="B10" s="1" t="s">
        <v>75</v>
      </c>
      <c r="C10" s="1">
        <v>2024</v>
      </c>
      <c r="D10" s="64">
        <v>45295</v>
      </c>
      <c r="E10" s="65">
        <v>1368.46</v>
      </c>
      <c r="F10" s="65">
        <v>1337.49</v>
      </c>
      <c r="G10" s="65">
        <v>1426.23</v>
      </c>
      <c r="H10" s="65">
        <v>1323.61</v>
      </c>
      <c r="J10" s="63">
        <v>2.6800000000000001E-2</v>
      </c>
      <c r="L10" s="20" t="s">
        <v>34</v>
      </c>
      <c r="M10" s="46">
        <f>'[1]Actividades 2025'!O6</f>
        <v>1100000</v>
      </c>
      <c r="N10" s="48">
        <f t="shared" si="6"/>
        <v>1345.7</v>
      </c>
      <c r="O10" s="20">
        <f t="shared" si="10"/>
        <v>1379.58</v>
      </c>
      <c r="P10" s="47">
        <f t="shared" si="1"/>
        <v>2.4558198872120417E-2</v>
      </c>
      <c r="Q10" s="46">
        <f t="shared" si="2"/>
        <v>27014.018759332459</v>
      </c>
      <c r="R10" s="20"/>
      <c r="S10" s="20" t="s">
        <v>34</v>
      </c>
      <c r="T10" s="49">
        <f>'[1]Actividades 2025'!O11</f>
        <v>1566666.6666666667</v>
      </c>
      <c r="U10" s="48">
        <f t="shared" si="7"/>
        <v>1345.7</v>
      </c>
      <c r="V10" s="48">
        <f t="shared" si="7"/>
        <v>1379.58</v>
      </c>
      <c r="W10" s="47">
        <f t="shared" si="3"/>
        <v>2.4558198872120417E-2</v>
      </c>
      <c r="X10" s="46">
        <f t="shared" si="4"/>
        <v>38474.511566321991</v>
      </c>
      <c r="Z10" s="20" t="s">
        <v>34</v>
      </c>
      <c r="AA10" s="49">
        <f>'data S&amp;P500'!AM10</f>
        <v>0</v>
      </c>
      <c r="AB10" s="48">
        <f t="shared" si="8"/>
        <v>1345.7</v>
      </c>
      <c r="AC10" s="48">
        <f t="shared" si="8"/>
        <v>1379.58</v>
      </c>
      <c r="AD10" s="47">
        <f t="shared" si="5"/>
        <v>2.4558198872120417E-2</v>
      </c>
      <c r="AE10" s="46">
        <f t="shared" si="9"/>
        <v>0</v>
      </c>
    </row>
    <row r="11" spans="1:31" x14ac:dyDescent="0.25">
      <c r="A11" s="1" t="str">
        <f t="shared" si="0"/>
        <v>marzo2024</v>
      </c>
      <c r="B11" s="1" t="s">
        <v>77</v>
      </c>
      <c r="C11" s="1">
        <v>2024</v>
      </c>
      <c r="D11" s="64">
        <v>45294</v>
      </c>
      <c r="E11" s="65">
        <v>1332.76</v>
      </c>
      <c r="F11" s="65">
        <v>1274.1600000000001</v>
      </c>
      <c r="G11" s="65">
        <v>1334.52</v>
      </c>
      <c r="H11" s="65">
        <v>1268.18</v>
      </c>
      <c r="J11" s="63">
        <v>4.6100000000000002E-2</v>
      </c>
      <c r="L11" s="20" t="s">
        <v>35</v>
      </c>
      <c r="M11" s="46">
        <f>'[1]Actividades 2025'!P6</f>
        <v>1100000</v>
      </c>
      <c r="N11" s="48">
        <f t="shared" si="6"/>
        <v>1361.95</v>
      </c>
      <c r="O11" s="20">
        <f t="shared" si="10"/>
        <v>1379.58</v>
      </c>
      <c r="P11" s="47">
        <f t="shared" si="1"/>
        <v>1.2779251656301107E-2</v>
      </c>
      <c r="Q11" s="46">
        <f t="shared" si="2"/>
        <v>14057.176821931218</v>
      </c>
      <c r="R11" s="20"/>
      <c r="S11" s="20" t="s">
        <v>35</v>
      </c>
      <c r="T11" s="49">
        <f>'[1]Actividades 2025'!P11</f>
        <v>966666.66666666663</v>
      </c>
      <c r="U11" s="48">
        <f t="shared" si="7"/>
        <v>1361.95</v>
      </c>
      <c r="V11" s="48">
        <f t="shared" si="7"/>
        <v>1379.58</v>
      </c>
      <c r="W11" s="47">
        <f t="shared" si="3"/>
        <v>1.2779251656301107E-2</v>
      </c>
      <c r="X11" s="46">
        <f t="shared" si="4"/>
        <v>12353.276601091069</v>
      </c>
      <c r="Z11" s="20" t="s">
        <v>35</v>
      </c>
      <c r="AA11" s="49">
        <f>'data S&amp;P500'!AM11</f>
        <v>0</v>
      </c>
      <c r="AB11" s="48">
        <f t="shared" si="8"/>
        <v>1361.95</v>
      </c>
      <c r="AC11" s="48">
        <f t="shared" si="8"/>
        <v>1379.58</v>
      </c>
      <c r="AD11" s="47">
        <f t="shared" si="5"/>
        <v>1.2779251656301107E-2</v>
      </c>
      <c r="AE11" s="46">
        <f t="shared" si="9"/>
        <v>0</v>
      </c>
    </row>
    <row r="12" spans="1:31" x14ac:dyDescent="0.25">
      <c r="A12" s="1" t="str">
        <f t="shared" si="0"/>
        <v>febrero2024</v>
      </c>
      <c r="B12" s="1" t="s">
        <v>79</v>
      </c>
      <c r="C12" s="1">
        <v>2024</v>
      </c>
      <c r="D12" s="64">
        <v>45293</v>
      </c>
      <c r="E12" s="65">
        <v>1274.08</v>
      </c>
      <c r="F12" s="65">
        <v>1279.43</v>
      </c>
      <c r="G12" s="65">
        <v>1297</v>
      </c>
      <c r="H12" s="65">
        <v>1215.46</v>
      </c>
      <c r="J12" s="63">
        <v>-1.9E-3</v>
      </c>
      <c r="L12" s="20" t="s">
        <v>36</v>
      </c>
      <c r="M12" s="46">
        <f>'[1]Actividades 2025'!Q6</f>
        <v>1100000</v>
      </c>
      <c r="N12" s="48">
        <f t="shared" si="6"/>
        <v>1305.3699999999999</v>
      </c>
      <c r="O12" s="20">
        <f t="shared" si="10"/>
        <v>1379.58</v>
      </c>
      <c r="P12" s="47">
        <f t="shared" si="1"/>
        <v>5.379173371605854E-2</v>
      </c>
      <c r="Q12" s="46">
        <f t="shared" si="2"/>
        <v>59170.907087664396</v>
      </c>
      <c r="R12" s="20"/>
      <c r="S12" s="20" t="s">
        <v>36</v>
      </c>
      <c r="T12" s="49">
        <f>'[1]Actividades 2025'!Q11</f>
        <v>1566666.6666666667</v>
      </c>
      <c r="U12" s="48">
        <f t="shared" si="7"/>
        <v>1305.3699999999999</v>
      </c>
      <c r="V12" s="48">
        <f t="shared" si="7"/>
        <v>1379.58</v>
      </c>
      <c r="W12" s="47">
        <f t="shared" si="3"/>
        <v>5.379173371605854E-2</v>
      </c>
      <c r="X12" s="46">
        <f t="shared" si="4"/>
        <v>84273.716155158385</v>
      </c>
      <c r="Z12" s="20" t="s">
        <v>36</v>
      </c>
      <c r="AA12" s="49">
        <f>'data S&amp;P500'!AM12</f>
        <v>0</v>
      </c>
      <c r="AB12" s="48">
        <f t="shared" si="8"/>
        <v>1305.3699999999999</v>
      </c>
      <c r="AC12" s="48">
        <f t="shared" si="8"/>
        <v>1379.58</v>
      </c>
      <c r="AD12" s="47">
        <f t="shared" si="5"/>
        <v>5.379173371605854E-2</v>
      </c>
      <c r="AE12" s="46">
        <f t="shared" si="9"/>
        <v>0</v>
      </c>
    </row>
    <row r="13" spans="1:31" x14ac:dyDescent="0.25">
      <c r="A13" s="1" t="str">
        <f t="shared" si="0"/>
        <v>enero2024</v>
      </c>
      <c r="B13" s="1" t="s">
        <v>81</v>
      </c>
      <c r="C13" s="1">
        <v>2024</v>
      </c>
      <c r="D13" s="64">
        <v>45292</v>
      </c>
      <c r="E13" s="65">
        <v>1276.55</v>
      </c>
      <c r="F13" s="65">
        <v>1195.2</v>
      </c>
      <c r="G13" s="65">
        <v>1302.55</v>
      </c>
      <c r="H13" s="65">
        <v>1194.5999999999999</v>
      </c>
      <c r="J13" s="63">
        <v>6.8099999999999994E-2</v>
      </c>
      <c r="L13" s="20" t="s">
        <v>37</v>
      </c>
      <c r="M13" s="46">
        <f>'[1]Actividades 2025'!R6</f>
        <v>1100000</v>
      </c>
      <c r="N13" s="48">
        <f t="shared" si="6"/>
        <v>1357.89</v>
      </c>
      <c r="O13" s="20">
        <f t="shared" si="10"/>
        <v>1379.58</v>
      </c>
      <c r="P13" s="47">
        <f t="shared" si="1"/>
        <v>1.5722176314530385E-2</v>
      </c>
      <c r="Q13" s="46">
        <f t="shared" si="2"/>
        <v>17294.393945983426</v>
      </c>
      <c r="R13" s="20"/>
      <c r="S13" s="20" t="s">
        <v>37</v>
      </c>
      <c r="T13" s="49">
        <f>'[1]Actividades 2025'!R11</f>
        <v>1566666.6666666667</v>
      </c>
      <c r="U13" s="48">
        <f t="shared" si="7"/>
        <v>1357.89</v>
      </c>
      <c r="V13" s="48">
        <f t="shared" si="7"/>
        <v>1379.58</v>
      </c>
      <c r="W13" s="47">
        <f t="shared" si="3"/>
        <v>1.5722176314530385E-2</v>
      </c>
      <c r="X13" s="46">
        <f t="shared" si="4"/>
        <v>24631.409559430936</v>
      </c>
      <c r="Z13" s="20" t="s">
        <v>37</v>
      </c>
      <c r="AA13" s="49">
        <f>'data S&amp;P500'!AM13</f>
        <v>0</v>
      </c>
      <c r="AB13" s="48">
        <f t="shared" si="8"/>
        <v>1357.89</v>
      </c>
      <c r="AC13" s="48">
        <f t="shared" si="8"/>
        <v>1379.58</v>
      </c>
      <c r="AD13" s="47">
        <f t="shared" si="5"/>
        <v>1.5722176314530385E-2</v>
      </c>
      <c r="AE13" s="46">
        <f t="shared" si="9"/>
        <v>0</v>
      </c>
    </row>
    <row r="14" spans="1:31" x14ac:dyDescent="0.25">
      <c r="A14" s="1" t="str">
        <f t="shared" si="0"/>
        <v>diciembre2023</v>
      </c>
      <c r="B14" s="1" t="s">
        <v>59</v>
      </c>
      <c r="C14" s="1">
        <v>2023</v>
      </c>
      <c r="D14" s="64">
        <v>44938</v>
      </c>
      <c r="E14" s="65">
        <v>1195.2</v>
      </c>
      <c r="F14" s="65">
        <v>1146.8699999999999</v>
      </c>
      <c r="G14" s="65">
        <v>1195.2</v>
      </c>
      <c r="H14" s="65">
        <v>1129.1099999999999</v>
      </c>
      <c r="J14" s="63">
        <v>4.2099999999999999E-2</v>
      </c>
      <c r="L14" s="20" t="s">
        <v>38</v>
      </c>
      <c r="M14" s="46">
        <f>'[1]Actividades 2025'!S6</f>
        <v>1100000</v>
      </c>
      <c r="N14" s="48">
        <f t="shared" si="6"/>
        <v>1393.62</v>
      </c>
      <c r="O14" s="20">
        <f t="shared" si="10"/>
        <v>1379.58</v>
      </c>
      <c r="P14" s="47">
        <f t="shared" si="1"/>
        <v>-1.0177010394467856E-2</v>
      </c>
      <c r="Q14" s="46">
        <f t="shared" si="2"/>
        <v>-11194.711433914641</v>
      </c>
      <c r="R14" s="20"/>
      <c r="S14" s="20" t="s">
        <v>38</v>
      </c>
      <c r="T14" s="49">
        <f>'[1]Actividades 2025'!S11</f>
        <v>833333.33333333349</v>
      </c>
      <c r="U14" s="48">
        <f t="shared" si="7"/>
        <v>1393.62</v>
      </c>
      <c r="V14" s="48">
        <f t="shared" si="7"/>
        <v>1379.58</v>
      </c>
      <c r="W14" s="47">
        <f t="shared" si="3"/>
        <v>-1.0177010394467856E-2</v>
      </c>
      <c r="X14" s="46">
        <f t="shared" si="4"/>
        <v>-8480.841995389881</v>
      </c>
      <c r="Z14" s="20" t="s">
        <v>38</v>
      </c>
      <c r="AA14" s="49">
        <f>'data S&amp;P500'!AM14</f>
        <v>0</v>
      </c>
      <c r="AB14" s="48">
        <f t="shared" si="8"/>
        <v>1393.62</v>
      </c>
      <c r="AC14" s="48">
        <f t="shared" si="8"/>
        <v>1379.58</v>
      </c>
      <c r="AD14" s="47">
        <f t="shared" si="5"/>
        <v>-1.0177010394467856E-2</v>
      </c>
      <c r="AE14" s="46">
        <f t="shared" si="9"/>
        <v>0</v>
      </c>
    </row>
    <row r="15" spans="1:31" x14ac:dyDescent="0.25">
      <c r="A15" s="1" t="str">
        <f t="shared" si="0"/>
        <v>noviembre2023</v>
      </c>
      <c r="B15" s="1" t="s">
        <v>61</v>
      </c>
      <c r="C15" s="1">
        <v>2023</v>
      </c>
      <c r="D15" s="64">
        <v>44937</v>
      </c>
      <c r="E15" s="65">
        <v>1146.8699999999999</v>
      </c>
      <c r="F15" s="65">
        <v>1090.51</v>
      </c>
      <c r="G15" s="65">
        <v>1148.46</v>
      </c>
      <c r="H15" s="65">
        <v>1086.1199999999999</v>
      </c>
      <c r="J15" s="63">
        <v>5.3999999999999999E-2</v>
      </c>
      <c r="L15" s="20"/>
      <c r="M15" s="46">
        <f>SUM(M3:M14)</f>
        <v>13200000</v>
      </c>
      <c r="N15" s="20"/>
      <c r="O15" s="20"/>
      <c r="P15" s="47">
        <f>Q15/M15</f>
        <v>3.4216331540517099E-2</v>
      </c>
      <c r="Q15" s="46">
        <f>SUM(Q3:Q14)</f>
        <v>451655.57633482572</v>
      </c>
      <c r="R15" s="20"/>
      <c r="S15" s="20"/>
      <c r="T15" s="46">
        <f>SUM(T3:T14)</f>
        <v>13200000</v>
      </c>
      <c r="U15" s="20"/>
      <c r="V15" s="20"/>
      <c r="W15" s="47">
        <f>X15/T15</f>
        <v>3.538426861285987E-2</v>
      </c>
      <c r="X15" s="46">
        <f>SUM(X3:X14)</f>
        <v>467072.34568975033</v>
      </c>
      <c r="Z15" s="20"/>
      <c r="AA15" s="46">
        <f>SUM(AA3:AA14)</f>
        <v>0</v>
      </c>
      <c r="AB15" s="20"/>
      <c r="AC15" s="20"/>
      <c r="AD15" s="47" t="e">
        <f>AE15/AA15</f>
        <v>#DIV/0!</v>
      </c>
      <c r="AE15" s="46">
        <f>SUM(AE3:AE14)</f>
        <v>0</v>
      </c>
    </row>
    <row r="16" spans="1:31" x14ac:dyDescent="0.25">
      <c r="A16" s="1" t="str">
        <f t="shared" si="0"/>
        <v>octubre2023</v>
      </c>
      <c r="B16" s="1" t="s">
        <v>63</v>
      </c>
      <c r="C16" s="1">
        <v>2023</v>
      </c>
      <c r="D16" s="64">
        <v>44936</v>
      </c>
      <c r="E16" s="65">
        <v>1088.1500000000001</v>
      </c>
      <c r="F16" s="65">
        <v>1121.82</v>
      </c>
      <c r="G16" s="65">
        <v>1143.05</v>
      </c>
      <c r="H16" s="65">
        <v>1083.95</v>
      </c>
      <c r="J16" s="63">
        <v>-2.9899999999999999E-2</v>
      </c>
    </row>
    <row r="17" spans="1:31" x14ac:dyDescent="0.25">
      <c r="A17" s="1" t="str">
        <f t="shared" si="0"/>
        <v>septiembre2023</v>
      </c>
      <c r="B17" s="1" t="s">
        <v>65</v>
      </c>
      <c r="C17" s="1">
        <v>2023</v>
      </c>
      <c r="D17" s="64">
        <v>44935</v>
      </c>
      <c r="E17" s="65">
        <v>1121.6400000000001</v>
      </c>
      <c r="F17" s="65">
        <v>1076.1199999999999</v>
      </c>
      <c r="G17" s="65">
        <v>1124.6099999999999</v>
      </c>
      <c r="H17" s="65">
        <v>1044.56</v>
      </c>
      <c r="J17" s="63">
        <v>4.2299999999999997E-2</v>
      </c>
      <c r="L17" s="20" t="s">
        <v>43</v>
      </c>
      <c r="M17" s="20">
        <v>2023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31" x14ac:dyDescent="0.25">
      <c r="A18" s="1" t="str">
        <f t="shared" si="0"/>
        <v>agosto2023</v>
      </c>
      <c r="B18" s="1" t="s">
        <v>67</v>
      </c>
      <c r="C18" s="1">
        <v>2023</v>
      </c>
      <c r="D18" s="64">
        <v>44934</v>
      </c>
      <c r="E18" s="65">
        <v>1076.1199999999999</v>
      </c>
      <c r="F18" s="65">
        <v>1175.44</v>
      </c>
      <c r="G18" s="65">
        <v>1182.3399999999999</v>
      </c>
      <c r="H18" s="65">
        <v>1076.1199999999999</v>
      </c>
      <c r="J18" s="63">
        <v>-8.3900000000000002E-2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31" x14ac:dyDescent="0.25">
      <c r="A19" s="1" t="str">
        <f t="shared" si="0"/>
        <v>julio2023</v>
      </c>
      <c r="B19" s="1" t="s">
        <v>69</v>
      </c>
      <c r="C19" s="1">
        <v>2023</v>
      </c>
      <c r="D19" s="64">
        <v>44933</v>
      </c>
      <c r="E19" s="65">
        <v>1174.7</v>
      </c>
      <c r="F19" s="65">
        <v>1124.3499999999999</v>
      </c>
      <c r="G19" s="65">
        <v>1182.5</v>
      </c>
      <c r="H19" s="65">
        <v>1110.71</v>
      </c>
      <c r="J19" s="63">
        <v>3.6299999999999999E-2</v>
      </c>
      <c r="L19" s="20" t="s">
        <v>27</v>
      </c>
      <c r="M19" s="46">
        <f>M3</f>
        <v>1100000</v>
      </c>
      <c r="N19" s="48">
        <f>VLOOKUP(_xlfn.CONCAT(L19,$M$17),$A$2:$J$73,6,0)</f>
        <v>1290.95</v>
      </c>
      <c r="O19" s="20">
        <f>VLOOKUP(_xlfn.CONCAT(L30,M17),$A$1:$E$73,5,0)</f>
        <v>1195.2</v>
      </c>
      <c r="P19" s="47">
        <f t="shared" ref="P19:P30" si="11">(O19-N19)/O19</f>
        <v>-8.0112115127175365E-2</v>
      </c>
      <c r="Q19" s="46">
        <f t="shared" ref="Q19:Q30" si="12">M19*P19</f>
        <v>-88123.326639892897</v>
      </c>
      <c r="R19" s="20"/>
      <c r="S19" s="20" t="s">
        <v>27</v>
      </c>
      <c r="T19" s="49">
        <f>T3</f>
        <v>433333.33333333326</v>
      </c>
      <c r="U19" s="48">
        <f>N19</f>
        <v>1290.95</v>
      </c>
      <c r="V19" s="48">
        <f>O19</f>
        <v>1195.2</v>
      </c>
      <c r="W19" s="47">
        <f t="shared" ref="W19:W30" si="13">(V19-U19)/V19</f>
        <v>-8.0112115127175365E-2</v>
      </c>
      <c r="X19" s="46">
        <f t="shared" ref="X19:X30" si="14">T19*W19</f>
        <v>-34715.249888442653</v>
      </c>
      <c r="Z19" s="20" t="s">
        <v>27</v>
      </c>
      <c r="AA19" s="49">
        <f>'data S&amp;P500'!AM19</f>
        <v>0</v>
      </c>
      <c r="AB19" s="48">
        <f>U19</f>
        <v>1290.95</v>
      </c>
      <c r="AC19" s="48">
        <f>V19</f>
        <v>1195.2</v>
      </c>
      <c r="AD19" s="47">
        <f t="shared" ref="AD19:AD30" si="15">(AC19-AB19)/AC19</f>
        <v>-8.0112115127175365E-2</v>
      </c>
      <c r="AE19" s="46">
        <f>AA19*AD19</f>
        <v>0</v>
      </c>
    </row>
    <row r="20" spans="1:31" x14ac:dyDescent="0.25">
      <c r="A20" s="1" t="str">
        <f t="shared" si="0"/>
        <v>junio2023</v>
      </c>
      <c r="B20" s="1" t="s">
        <v>71</v>
      </c>
      <c r="C20" s="1">
        <v>2023</v>
      </c>
      <c r="D20" s="64">
        <v>44932</v>
      </c>
      <c r="E20" s="65">
        <v>1133.5999999999999</v>
      </c>
      <c r="F20" s="65">
        <v>1099.03</v>
      </c>
      <c r="G20" s="65">
        <v>1201.77</v>
      </c>
      <c r="H20" s="65">
        <v>1098.95</v>
      </c>
      <c r="J20" s="63">
        <v>3.15E-2</v>
      </c>
      <c r="L20" s="20" t="s">
        <v>28</v>
      </c>
      <c r="M20" s="46">
        <f t="shared" ref="M20:M30" si="16">M4</f>
        <v>1100000</v>
      </c>
      <c r="N20" s="48">
        <f t="shared" ref="N20:N30" si="17">VLOOKUP(_xlfn.CONCAT(L20,$M$17),$A$2:$J$73,6,0)</f>
        <v>1286.53</v>
      </c>
      <c r="O20" s="20">
        <f>O19</f>
        <v>1195.2</v>
      </c>
      <c r="P20" s="47">
        <f t="shared" si="11"/>
        <v>-7.6413989290495254E-2</v>
      </c>
      <c r="Q20" s="46">
        <f t="shared" si="12"/>
        <v>-84055.38821954478</v>
      </c>
      <c r="R20" s="20"/>
      <c r="S20" s="20" t="s">
        <v>28</v>
      </c>
      <c r="T20" s="49">
        <f t="shared" ref="T20:T30" si="18">T4</f>
        <v>1566666.6666666667</v>
      </c>
      <c r="U20" s="48">
        <f t="shared" ref="U20:V30" si="19">N20</f>
        <v>1286.53</v>
      </c>
      <c r="V20" s="48">
        <f t="shared" si="19"/>
        <v>1195.2</v>
      </c>
      <c r="W20" s="47">
        <f t="shared" si="13"/>
        <v>-7.6413989290495254E-2</v>
      </c>
      <c r="X20" s="46">
        <f t="shared" si="14"/>
        <v>-119715.24988844257</v>
      </c>
      <c r="Z20" s="20" t="s">
        <v>28</v>
      </c>
      <c r="AA20" s="49">
        <f>'data S&amp;P500'!AM20</f>
        <v>0</v>
      </c>
      <c r="AB20" s="48">
        <f t="shared" ref="AB20:AC30" si="20">U20</f>
        <v>1286.53</v>
      </c>
      <c r="AC20" s="48">
        <f t="shared" si="20"/>
        <v>1195.2</v>
      </c>
      <c r="AD20" s="47">
        <f t="shared" si="15"/>
        <v>-7.6413989290495254E-2</v>
      </c>
      <c r="AE20" s="46">
        <f t="shared" ref="AE20:AE30" si="21">AA20*AD20</f>
        <v>0</v>
      </c>
    </row>
    <row r="21" spans="1:31" x14ac:dyDescent="0.25">
      <c r="A21" s="1" t="str">
        <f t="shared" si="0"/>
        <v>mayo2023</v>
      </c>
      <c r="B21" s="1" t="s">
        <v>73</v>
      </c>
      <c r="C21" s="1">
        <v>2023</v>
      </c>
      <c r="D21" s="64">
        <v>44931</v>
      </c>
      <c r="E21" s="65">
        <v>1099.03</v>
      </c>
      <c r="F21" s="65">
        <v>1194.3399999999999</v>
      </c>
      <c r="G21" s="65">
        <v>1194.3399999999999</v>
      </c>
      <c r="H21" s="65">
        <v>1085.1400000000001</v>
      </c>
      <c r="J21" s="63">
        <v>-8.3199999999999996E-2</v>
      </c>
      <c r="L21" s="20" t="s">
        <v>29</v>
      </c>
      <c r="M21" s="46">
        <f t="shared" si="16"/>
        <v>1100000</v>
      </c>
      <c r="N21" s="48">
        <f t="shared" si="17"/>
        <v>1191.79</v>
      </c>
      <c r="O21" s="20">
        <f t="shared" ref="O21:O30" si="22">O20</f>
        <v>1195.2</v>
      </c>
      <c r="P21" s="47">
        <f t="shared" si="11"/>
        <v>2.8530789825971232E-3</v>
      </c>
      <c r="Q21" s="46">
        <f t="shared" si="12"/>
        <v>3138.3868808568354</v>
      </c>
      <c r="R21" s="20"/>
      <c r="S21" s="20" t="s">
        <v>29</v>
      </c>
      <c r="T21" s="49">
        <f t="shared" si="18"/>
        <v>1566666.6666666667</v>
      </c>
      <c r="U21" s="48">
        <f t="shared" si="19"/>
        <v>1191.79</v>
      </c>
      <c r="V21" s="48">
        <f t="shared" si="19"/>
        <v>1195.2</v>
      </c>
      <c r="W21" s="47">
        <f t="shared" si="13"/>
        <v>2.8530789825971232E-3</v>
      </c>
      <c r="X21" s="46">
        <f t="shared" si="14"/>
        <v>4469.8237394021598</v>
      </c>
      <c r="Z21" s="20" t="s">
        <v>29</v>
      </c>
      <c r="AA21" s="49">
        <f>'data S&amp;P500'!AM21</f>
        <v>0</v>
      </c>
      <c r="AB21" s="48">
        <f t="shared" si="20"/>
        <v>1191.79</v>
      </c>
      <c r="AC21" s="48">
        <f t="shared" si="20"/>
        <v>1195.2</v>
      </c>
      <c r="AD21" s="47">
        <f t="shared" si="15"/>
        <v>2.8530789825971232E-3</v>
      </c>
      <c r="AE21" s="46">
        <f t="shared" si="21"/>
        <v>0</v>
      </c>
    </row>
    <row r="22" spans="1:31" x14ac:dyDescent="0.25">
      <c r="A22" s="1" t="str">
        <f t="shared" si="0"/>
        <v>abril2023</v>
      </c>
      <c r="B22" s="1" t="s">
        <v>75</v>
      </c>
      <c r="C22" s="1">
        <v>2023</v>
      </c>
      <c r="D22" s="64">
        <v>44930</v>
      </c>
      <c r="E22" s="65">
        <v>1198.81</v>
      </c>
      <c r="F22" s="65">
        <v>1168.31</v>
      </c>
      <c r="G22" s="65">
        <v>1264.18</v>
      </c>
      <c r="H22" s="65">
        <v>1153.6500000000001</v>
      </c>
      <c r="J22" s="63">
        <v>3.56E-2</v>
      </c>
      <c r="L22" s="20" t="s">
        <v>30</v>
      </c>
      <c r="M22" s="46">
        <f t="shared" si="16"/>
        <v>1100000</v>
      </c>
      <c r="N22" s="48">
        <f t="shared" si="17"/>
        <v>1168.31</v>
      </c>
      <c r="O22" s="20">
        <f t="shared" si="22"/>
        <v>1195.2</v>
      </c>
      <c r="P22" s="47">
        <f t="shared" si="11"/>
        <v>2.2498326639892988E-2</v>
      </c>
      <c r="Q22" s="46">
        <f t="shared" si="12"/>
        <v>24748.159303882287</v>
      </c>
      <c r="R22" s="20"/>
      <c r="S22" s="20" t="s">
        <v>30</v>
      </c>
      <c r="T22" s="49">
        <f t="shared" si="18"/>
        <v>700000</v>
      </c>
      <c r="U22" s="48">
        <f t="shared" si="19"/>
        <v>1168.31</v>
      </c>
      <c r="V22" s="48">
        <f t="shared" si="19"/>
        <v>1195.2</v>
      </c>
      <c r="W22" s="47">
        <f t="shared" si="13"/>
        <v>2.2498326639892988E-2</v>
      </c>
      <c r="X22" s="46">
        <f t="shared" si="14"/>
        <v>15748.828647925091</v>
      </c>
      <c r="Z22" s="20" t="s">
        <v>30</v>
      </c>
      <c r="AA22" s="49">
        <f>'data S&amp;P500'!AM22</f>
        <v>0</v>
      </c>
      <c r="AB22" s="48">
        <f t="shared" si="20"/>
        <v>1168.31</v>
      </c>
      <c r="AC22" s="48">
        <f t="shared" si="20"/>
        <v>1195.2</v>
      </c>
      <c r="AD22" s="47">
        <f t="shared" si="15"/>
        <v>2.2498326639892988E-2</v>
      </c>
      <c r="AE22" s="46">
        <f t="shared" si="21"/>
        <v>0</v>
      </c>
    </row>
    <row r="23" spans="1:31" x14ac:dyDescent="0.25">
      <c r="A23" s="1" t="str">
        <f t="shared" si="0"/>
        <v>marzo2023</v>
      </c>
      <c r="B23" s="1" t="s">
        <v>77</v>
      </c>
      <c r="C23" s="1">
        <v>2023</v>
      </c>
      <c r="D23" s="64">
        <v>44929</v>
      </c>
      <c r="E23" s="65">
        <v>1157.5899999999999</v>
      </c>
      <c r="F23" s="65">
        <v>1191.79</v>
      </c>
      <c r="G23" s="65">
        <v>1244.96</v>
      </c>
      <c r="H23" s="65">
        <v>1084.58</v>
      </c>
      <c r="J23" s="63">
        <v>-2.52E-2</v>
      </c>
      <c r="L23" s="20" t="s">
        <v>31</v>
      </c>
      <c r="M23" s="46">
        <f t="shared" si="16"/>
        <v>1100000</v>
      </c>
      <c r="N23" s="48">
        <f t="shared" si="17"/>
        <v>1194.3399999999999</v>
      </c>
      <c r="O23" s="20">
        <f t="shared" si="22"/>
        <v>1195.2</v>
      </c>
      <c r="P23" s="47">
        <f t="shared" si="11"/>
        <v>7.1954484605097669E-4</v>
      </c>
      <c r="Q23" s="46">
        <f t="shared" si="12"/>
        <v>791.49933065607433</v>
      </c>
      <c r="R23" s="20"/>
      <c r="S23" s="20" t="s">
        <v>31</v>
      </c>
      <c r="T23" s="49">
        <f t="shared" si="18"/>
        <v>566666.66666666674</v>
      </c>
      <c r="U23" s="48">
        <f t="shared" si="19"/>
        <v>1194.3399999999999</v>
      </c>
      <c r="V23" s="48">
        <f t="shared" si="19"/>
        <v>1195.2</v>
      </c>
      <c r="W23" s="47">
        <f t="shared" si="13"/>
        <v>7.1954484605097669E-4</v>
      </c>
      <c r="X23" s="46">
        <f t="shared" si="14"/>
        <v>407.74207942888683</v>
      </c>
      <c r="Z23" s="20" t="s">
        <v>31</v>
      </c>
      <c r="AA23" s="49">
        <f>'data S&amp;P500'!AM23</f>
        <v>0</v>
      </c>
      <c r="AB23" s="48">
        <f t="shared" si="20"/>
        <v>1194.3399999999999</v>
      </c>
      <c r="AC23" s="48">
        <f t="shared" si="20"/>
        <v>1195.2</v>
      </c>
      <c r="AD23" s="47">
        <f t="shared" si="15"/>
        <v>7.1954484605097669E-4</v>
      </c>
      <c r="AE23" s="46">
        <f t="shared" si="21"/>
        <v>0</v>
      </c>
    </row>
    <row r="24" spans="1:31" x14ac:dyDescent="0.25">
      <c r="A24" s="1" t="str">
        <f t="shared" si="0"/>
        <v>febrero2023</v>
      </c>
      <c r="B24" s="1" t="s">
        <v>79</v>
      </c>
      <c r="C24" s="1">
        <v>2023</v>
      </c>
      <c r="D24" s="64">
        <v>44928</v>
      </c>
      <c r="E24" s="65">
        <v>1187.56</v>
      </c>
      <c r="F24" s="65">
        <v>1286.53</v>
      </c>
      <c r="G24" s="65">
        <v>1291.8499999999999</v>
      </c>
      <c r="H24" s="65">
        <v>1182.8</v>
      </c>
      <c r="J24" s="63">
        <v>-7.9500000000000001E-2</v>
      </c>
      <c r="L24" s="20" t="s">
        <v>32</v>
      </c>
      <c r="M24" s="46">
        <f t="shared" si="16"/>
        <v>1100000</v>
      </c>
      <c r="N24" s="48">
        <f t="shared" si="17"/>
        <v>1099.03</v>
      </c>
      <c r="O24" s="20">
        <f t="shared" si="22"/>
        <v>1195.2</v>
      </c>
      <c r="P24" s="47">
        <f t="shared" si="11"/>
        <v>8.0463520749665382E-2</v>
      </c>
      <c r="Q24" s="46">
        <f t="shared" si="12"/>
        <v>88509.872824631922</v>
      </c>
      <c r="R24" s="20"/>
      <c r="S24" s="20" t="s">
        <v>32</v>
      </c>
      <c r="T24" s="49">
        <f t="shared" si="18"/>
        <v>300000</v>
      </c>
      <c r="U24" s="48">
        <f t="shared" si="19"/>
        <v>1099.03</v>
      </c>
      <c r="V24" s="48">
        <f t="shared" si="19"/>
        <v>1195.2</v>
      </c>
      <c r="W24" s="47">
        <f t="shared" si="13"/>
        <v>8.0463520749665382E-2</v>
      </c>
      <c r="X24" s="46">
        <f t="shared" si="14"/>
        <v>24139.056224899614</v>
      </c>
      <c r="Z24" s="20" t="s">
        <v>32</v>
      </c>
      <c r="AA24" s="49">
        <f>'data S&amp;P500'!AM24</f>
        <v>0</v>
      </c>
      <c r="AB24" s="48">
        <f t="shared" si="20"/>
        <v>1099.03</v>
      </c>
      <c r="AC24" s="48">
        <f t="shared" si="20"/>
        <v>1195.2</v>
      </c>
      <c r="AD24" s="47">
        <f t="shared" si="15"/>
        <v>8.0463520749665382E-2</v>
      </c>
      <c r="AE24" s="46">
        <f t="shared" si="21"/>
        <v>0</v>
      </c>
    </row>
    <row r="25" spans="1:31" x14ac:dyDescent="0.25">
      <c r="A25" s="1" t="str">
        <f t="shared" si="0"/>
        <v>enero2023</v>
      </c>
      <c r="B25" s="1" t="s">
        <v>81</v>
      </c>
      <c r="C25" s="1">
        <v>2023</v>
      </c>
      <c r="D25" s="64">
        <v>44927</v>
      </c>
      <c r="E25" s="65">
        <v>1290.1099999999999</v>
      </c>
      <c r="F25" s="65">
        <v>1290.95</v>
      </c>
      <c r="G25" s="65">
        <v>1347.58</v>
      </c>
      <c r="H25" s="65">
        <v>1264.76</v>
      </c>
      <c r="J25" s="63">
        <v>3.0999999999999999E-3</v>
      </c>
      <c r="L25" s="20" t="s">
        <v>33</v>
      </c>
      <c r="M25" s="46">
        <f t="shared" si="16"/>
        <v>1100000</v>
      </c>
      <c r="N25" s="48">
        <f t="shared" si="17"/>
        <v>1124.3499999999999</v>
      </c>
      <c r="O25" s="20">
        <f t="shared" si="22"/>
        <v>1195.2</v>
      </c>
      <c r="P25" s="47">
        <f t="shared" si="11"/>
        <v>5.9278781793842147E-2</v>
      </c>
      <c r="Q25" s="46">
        <f t="shared" si="12"/>
        <v>65206.659973226364</v>
      </c>
      <c r="R25" s="20"/>
      <c r="S25" s="20" t="s">
        <v>33</v>
      </c>
      <c r="T25" s="49">
        <f t="shared" si="18"/>
        <v>1566666.6666666667</v>
      </c>
      <c r="U25" s="48">
        <f t="shared" si="19"/>
        <v>1124.3499999999999</v>
      </c>
      <c r="V25" s="48">
        <f t="shared" si="19"/>
        <v>1195.2</v>
      </c>
      <c r="W25" s="47">
        <f t="shared" si="13"/>
        <v>5.9278781793842147E-2</v>
      </c>
      <c r="X25" s="46">
        <f t="shared" si="14"/>
        <v>92870.091477019363</v>
      </c>
      <c r="Z25" s="20" t="s">
        <v>33</v>
      </c>
      <c r="AA25" s="49">
        <f>'data S&amp;P500'!AM25</f>
        <v>0</v>
      </c>
      <c r="AB25" s="48">
        <f t="shared" si="20"/>
        <v>1124.3499999999999</v>
      </c>
      <c r="AC25" s="48">
        <f t="shared" si="20"/>
        <v>1195.2</v>
      </c>
      <c r="AD25" s="47">
        <f t="shared" si="15"/>
        <v>5.9278781793842147E-2</v>
      </c>
      <c r="AE25" s="46">
        <f t="shared" si="21"/>
        <v>0</v>
      </c>
    </row>
    <row r="26" spans="1:31" x14ac:dyDescent="0.25">
      <c r="A26" s="1" t="str">
        <f t="shared" si="0"/>
        <v>diciembre2022</v>
      </c>
      <c r="B26" s="1" t="s">
        <v>59</v>
      </c>
      <c r="C26" s="1">
        <v>2022</v>
      </c>
      <c r="D26" s="64">
        <v>44573</v>
      </c>
      <c r="E26" s="65">
        <v>1286.07</v>
      </c>
      <c r="F26" s="65">
        <v>1235.3499999999999</v>
      </c>
      <c r="G26" s="65">
        <v>1290.1099999999999</v>
      </c>
      <c r="H26" s="65">
        <v>1207.5999999999999</v>
      </c>
      <c r="J26" s="63">
        <v>3.5000000000000003E-2</v>
      </c>
      <c r="L26" s="20" t="s">
        <v>34</v>
      </c>
      <c r="M26" s="46">
        <f t="shared" si="16"/>
        <v>1100000</v>
      </c>
      <c r="N26" s="48">
        <f t="shared" si="17"/>
        <v>1175.44</v>
      </c>
      <c r="O26" s="20">
        <f t="shared" si="22"/>
        <v>1195.2</v>
      </c>
      <c r="P26" s="47">
        <f t="shared" si="11"/>
        <v>1.6532797858099055E-2</v>
      </c>
      <c r="Q26" s="46">
        <f t="shared" si="12"/>
        <v>18186.07764390896</v>
      </c>
      <c r="R26" s="20"/>
      <c r="S26" s="20" t="s">
        <v>34</v>
      </c>
      <c r="T26" s="49">
        <f t="shared" si="18"/>
        <v>1566666.6666666667</v>
      </c>
      <c r="U26" s="48">
        <f t="shared" si="19"/>
        <v>1175.44</v>
      </c>
      <c r="V26" s="48">
        <f t="shared" si="19"/>
        <v>1195.2</v>
      </c>
      <c r="W26" s="47">
        <f t="shared" si="13"/>
        <v>1.6532797858099055E-2</v>
      </c>
      <c r="X26" s="46">
        <f t="shared" si="14"/>
        <v>25901.383311021855</v>
      </c>
      <c r="Z26" s="20" t="s">
        <v>34</v>
      </c>
      <c r="AA26" s="49">
        <f>'data S&amp;P500'!AM26</f>
        <v>0</v>
      </c>
      <c r="AB26" s="48">
        <f t="shared" si="20"/>
        <v>1175.44</v>
      </c>
      <c r="AC26" s="48">
        <f t="shared" si="20"/>
        <v>1195.2</v>
      </c>
      <c r="AD26" s="47">
        <f t="shared" si="15"/>
        <v>1.6532797858099055E-2</v>
      </c>
      <c r="AE26" s="46">
        <f t="shared" si="21"/>
        <v>0</v>
      </c>
    </row>
    <row r="27" spans="1:31" x14ac:dyDescent="0.25">
      <c r="A27" s="1" t="str">
        <f t="shared" si="0"/>
        <v>noviembre2022</v>
      </c>
      <c r="B27" s="1" t="s">
        <v>61</v>
      </c>
      <c r="C27" s="1">
        <v>2022</v>
      </c>
      <c r="D27" s="64">
        <v>44572</v>
      </c>
      <c r="E27" s="65">
        <v>1242.6300000000001</v>
      </c>
      <c r="F27" s="65">
        <v>1235.72</v>
      </c>
      <c r="G27" s="65">
        <v>1295.81</v>
      </c>
      <c r="H27" s="65">
        <v>1215.51</v>
      </c>
      <c r="J27" s="63">
        <v>8.9999999999999993E-3</v>
      </c>
      <c r="L27" s="20" t="s">
        <v>35</v>
      </c>
      <c r="M27" s="46">
        <f t="shared" si="16"/>
        <v>1100000</v>
      </c>
      <c r="N27" s="48">
        <f t="shared" si="17"/>
        <v>1076.1199999999999</v>
      </c>
      <c r="O27" s="20">
        <f t="shared" si="22"/>
        <v>1195.2</v>
      </c>
      <c r="P27" s="47">
        <f t="shared" si="11"/>
        <v>9.9631860776439221E-2</v>
      </c>
      <c r="Q27" s="46">
        <f t="shared" si="12"/>
        <v>109595.04685408315</v>
      </c>
      <c r="R27" s="20"/>
      <c r="S27" s="20" t="s">
        <v>35</v>
      </c>
      <c r="T27" s="49">
        <f t="shared" si="18"/>
        <v>966666.66666666663</v>
      </c>
      <c r="U27" s="48">
        <f t="shared" si="19"/>
        <v>1076.1199999999999</v>
      </c>
      <c r="V27" s="48">
        <f t="shared" si="19"/>
        <v>1195.2</v>
      </c>
      <c r="W27" s="47">
        <f t="shared" si="13"/>
        <v>9.9631860776439221E-2</v>
      </c>
      <c r="X27" s="46">
        <f t="shared" si="14"/>
        <v>96310.798750557908</v>
      </c>
      <c r="Z27" s="20" t="s">
        <v>35</v>
      </c>
      <c r="AA27" s="49">
        <f>'data S&amp;P500'!AM27</f>
        <v>0</v>
      </c>
      <c r="AB27" s="48">
        <f t="shared" si="20"/>
        <v>1076.1199999999999</v>
      </c>
      <c r="AC27" s="48">
        <f t="shared" si="20"/>
        <v>1195.2</v>
      </c>
      <c r="AD27" s="47">
        <f t="shared" si="15"/>
        <v>9.9631860776439221E-2</v>
      </c>
      <c r="AE27" s="46">
        <f t="shared" si="21"/>
        <v>0</v>
      </c>
    </row>
    <row r="28" spans="1:31" x14ac:dyDescent="0.25">
      <c r="A28" s="1" t="str">
        <f t="shared" si="0"/>
        <v>octubre2022</v>
      </c>
      <c r="B28" s="1" t="s">
        <v>63</v>
      </c>
      <c r="C28" s="1">
        <v>2022</v>
      </c>
      <c r="D28" s="64">
        <v>44571</v>
      </c>
      <c r="E28" s="65">
        <v>1231.52</v>
      </c>
      <c r="F28" s="65">
        <v>1132.29</v>
      </c>
      <c r="G28" s="65">
        <v>1259.57</v>
      </c>
      <c r="H28" s="65">
        <v>1131.75</v>
      </c>
      <c r="J28" s="63">
        <v>9.1499999999999998E-2</v>
      </c>
      <c r="L28" s="20" t="s">
        <v>36</v>
      </c>
      <c r="M28" s="46">
        <f t="shared" si="16"/>
        <v>1100000</v>
      </c>
      <c r="N28" s="48">
        <f t="shared" si="17"/>
        <v>1121.82</v>
      </c>
      <c r="O28" s="20">
        <f t="shared" si="22"/>
        <v>1195.2</v>
      </c>
      <c r="P28" s="47">
        <f t="shared" si="11"/>
        <v>6.1395582329317355E-2</v>
      </c>
      <c r="Q28" s="46">
        <f t="shared" si="12"/>
        <v>67535.140562249086</v>
      </c>
      <c r="R28" s="20"/>
      <c r="S28" s="20" t="s">
        <v>36</v>
      </c>
      <c r="T28" s="49">
        <f t="shared" si="18"/>
        <v>1566666.6666666667</v>
      </c>
      <c r="U28" s="48">
        <f t="shared" si="19"/>
        <v>1121.82</v>
      </c>
      <c r="V28" s="48">
        <f t="shared" si="19"/>
        <v>1195.2</v>
      </c>
      <c r="W28" s="47">
        <f t="shared" si="13"/>
        <v>6.1395582329317355E-2</v>
      </c>
      <c r="X28" s="46">
        <f t="shared" si="14"/>
        <v>96186.412315930531</v>
      </c>
      <c r="Z28" s="20" t="s">
        <v>36</v>
      </c>
      <c r="AA28" s="49">
        <f>'data S&amp;P500'!AM28</f>
        <v>0</v>
      </c>
      <c r="AB28" s="48">
        <f t="shared" si="20"/>
        <v>1121.82</v>
      </c>
      <c r="AC28" s="48">
        <f t="shared" si="20"/>
        <v>1195.2</v>
      </c>
      <c r="AD28" s="47">
        <f t="shared" si="15"/>
        <v>6.1395582329317355E-2</v>
      </c>
      <c r="AE28" s="46">
        <f t="shared" si="21"/>
        <v>0</v>
      </c>
    </row>
    <row r="29" spans="1:31" x14ac:dyDescent="0.25">
      <c r="A29" s="1" t="str">
        <f t="shared" si="0"/>
        <v>septiembre2022</v>
      </c>
      <c r="B29" s="1" t="s">
        <v>65</v>
      </c>
      <c r="C29" s="1">
        <v>2022</v>
      </c>
      <c r="D29" s="64">
        <v>44570</v>
      </c>
      <c r="E29" s="65">
        <v>1128.24</v>
      </c>
      <c r="F29" s="65">
        <v>1228.6500000000001</v>
      </c>
      <c r="G29" s="65">
        <v>1244.77</v>
      </c>
      <c r="H29" s="65">
        <v>1108.05</v>
      </c>
      <c r="J29" s="63">
        <v>-8.1500000000000003E-2</v>
      </c>
      <c r="L29" s="20" t="s">
        <v>37</v>
      </c>
      <c r="M29" s="46">
        <f t="shared" si="16"/>
        <v>1100000</v>
      </c>
      <c r="N29" s="48">
        <f t="shared" si="17"/>
        <v>1090.51</v>
      </c>
      <c r="O29" s="20">
        <f t="shared" si="22"/>
        <v>1195.2</v>
      </c>
      <c r="P29" s="47">
        <f t="shared" si="11"/>
        <v>8.759203480589027E-2</v>
      </c>
      <c r="Q29" s="46">
        <f t="shared" si="12"/>
        <v>96351.238286479303</v>
      </c>
      <c r="R29" s="20"/>
      <c r="S29" s="20" t="s">
        <v>37</v>
      </c>
      <c r="T29" s="49">
        <f t="shared" si="18"/>
        <v>1566666.6666666667</v>
      </c>
      <c r="U29" s="48">
        <f t="shared" si="19"/>
        <v>1090.51</v>
      </c>
      <c r="V29" s="48">
        <f t="shared" si="19"/>
        <v>1195.2</v>
      </c>
      <c r="W29" s="47">
        <f t="shared" si="13"/>
        <v>8.759203480589027E-2</v>
      </c>
      <c r="X29" s="46">
        <f t="shared" si="14"/>
        <v>137227.52119589478</v>
      </c>
      <c r="Z29" s="20" t="s">
        <v>37</v>
      </c>
      <c r="AA29" s="49">
        <f>'data S&amp;P500'!AM29</f>
        <v>0</v>
      </c>
      <c r="AB29" s="48">
        <f t="shared" si="20"/>
        <v>1090.51</v>
      </c>
      <c r="AC29" s="48">
        <f t="shared" si="20"/>
        <v>1195.2</v>
      </c>
      <c r="AD29" s="47">
        <f t="shared" si="15"/>
        <v>8.759203480589027E-2</v>
      </c>
      <c r="AE29" s="46">
        <f t="shared" si="21"/>
        <v>0</v>
      </c>
    </row>
    <row r="30" spans="1:31" x14ac:dyDescent="0.25">
      <c r="A30" s="1" t="str">
        <f t="shared" si="0"/>
        <v>agosto2022</v>
      </c>
      <c r="B30" s="1" t="s">
        <v>67</v>
      </c>
      <c r="C30" s="1">
        <v>2022</v>
      </c>
      <c r="D30" s="64">
        <v>44569</v>
      </c>
      <c r="E30" s="65">
        <v>1228.33</v>
      </c>
      <c r="F30" s="65">
        <v>1289.06</v>
      </c>
      <c r="G30" s="65">
        <v>1343.04</v>
      </c>
      <c r="H30" s="65">
        <v>1228.33</v>
      </c>
      <c r="J30" s="63">
        <v>-5.2200000000000003E-2</v>
      </c>
      <c r="L30" s="20" t="s">
        <v>38</v>
      </c>
      <c r="M30" s="46">
        <f t="shared" si="16"/>
        <v>1100000</v>
      </c>
      <c r="N30" s="48">
        <f t="shared" si="17"/>
        <v>1146.8699999999999</v>
      </c>
      <c r="O30" s="20">
        <f t="shared" si="22"/>
        <v>1195.2</v>
      </c>
      <c r="P30" s="47">
        <f t="shared" si="11"/>
        <v>4.0436746987951938E-2</v>
      </c>
      <c r="Q30" s="46">
        <f t="shared" si="12"/>
        <v>44480.421686747133</v>
      </c>
      <c r="R30" s="20"/>
      <c r="S30" s="20" t="s">
        <v>38</v>
      </c>
      <c r="T30" s="49">
        <f t="shared" si="18"/>
        <v>833333.33333333349</v>
      </c>
      <c r="U30" s="48">
        <f t="shared" si="19"/>
        <v>1146.8699999999999</v>
      </c>
      <c r="V30" s="48">
        <f t="shared" si="19"/>
        <v>1195.2</v>
      </c>
      <c r="W30" s="47">
        <f t="shared" si="13"/>
        <v>4.0436746987951938E-2</v>
      </c>
      <c r="X30" s="46">
        <f t="shared" si="14"/>
        <v>33697.289156626619</v>
      </c>
      <c r="Z30" s="20" t="s">
        <v>38</v>
      </c>
      <c r="AA30" s="49">
        <f>'data S&amp;P500'!AM30</f>
        <v>0</v>
      </c>
      <c r="AB30" s="48">
        <f t="shared" si="20"/>
        <v>1146.8699999999999</v>
      </c>
      <c r="AC30" s="48">
        <f t="shared" si="20"/>
        <v>1195.2</v>
      </c>
      <c r="AD30" s="47">
        <f t="shared" si="15"/>
        <v>4.0436746987951938E-2</v>
      </c>
      <c r="AE30" s="46">
        <f t="shared" si="21"/>
        <v>0</v>
      </c>
    </row>
    <row r="31" spans="1:31" x14ac:dyDescent="0.25">
      <c r="A31" s="1" t="str">
        <f t="shared" si="0"/>
        <v>julio2022</v>
      </c>
      <c r="B31" s="1" t="s">
        <v>69</v>
      </c>
      <c r="C31" s="1">
        <v>2022</v>
      </c>
      <c r="D31" s="64">
        <v>44568</v>
      </c>
      <c r="E31" s="65">
        <v>1295.96</v>
      </c>
      <c r="F31" s="65">
        <v>1324.23</v>
      </c>
      <c r="G31" s="65">
        <v>1360.73</v>
      </c>
      <c r="H31" s="65">
        <v>1251.69</v>
      </c>
      <c r="J31" s="63">
        <v>-2.0299999999999999E-2</v>
      </c>
      <c r="L31" s="20"/>
      <c r="M31" s="46">
        <f>SUM(M19:M30)</f>
        <v>13200000</v>
      </c>
      <c r="N31" s="20"/>
      <c r="O31" s="20"/>
      <c r="P31" s="47">
        <f>Q31/M31</f>
        <v>2.6239680946006316E-2</v>
      </c>
      <c r="Q31" s="46">
        <f>SUM(Q19:Q30)</f>
        <v>346363.7884872834</v>
      </c>
      <c r="R31" s="20"/>
      <c r="S31" s="20"/>
      <c r="T31" s="46">
        <f>SUM(T19:T30)</f>
        <v>13200000</v>
      </c>
      <c r="U31" s="20"/>
      <c r="V31" s="20"/>
      <c r="W31" s="47">
        <f>X31/T31</f>
        <v>2.8221852054683454E-2</v>
      </c>
      <c r="X31" s="46">
        <f>SUM(X19:X30)</f>
        <v>372528.44712182158</v>
      </c>
      <c r="Z31" s="20"/>
      <c r="AA31" s="46">
        <f>SUM(AA19:AA30)</f>
        <v>0</v>
      </c>
      <c r="AB31" s="20"/>
      <c r="AC31" s="20"/>
      <c r="AD31" s="47" t="e">
        <f>AE31/AA31</f>
        <v>#DIV/0!</v>
      </c>
      <c r="AE31" s="46">
        <f>SUM(AE19:AE30)</f>
        <v>0</v>
      </c>
    </row>
    <row r="32" spans="1:31" x14ac:dyDescent="0.25">
      <c r="A32" s="1" t="str">
        <f t="shared" si="0"/>
        <v>junio2022</v>
      </c>
      <c r="B32" s="1" t="s">
        <v>71</v>
      </c>
      <c r="C32" s="1">
        <v>2022</v>
      </c>
      <c r="D32" s="64">
        <v>44567</v>
      </c>
      <c r="E32" s="65">
        <v>1322.88</v>
      </c>
      <c r="F32" s="65">
        <v>1615.11</v>
      </c>
      <c r="G32" s="65">
        <v>1619.4</v>
      </c>
      <c r="H32" s="65">
        <v>1322.88</v>
      </c>
      <c r="J32" s="63">
        <v>-0.1749</v>
      </c>
    </row>
    <row r="33" spans="1:31" x14ac:dyDescent="0.25">
      <c r="A33" s="1" t="str">
        <f t="shared" si="0"/>
        <v>mayo2022</v>
      </c>
      <c r="B33" s="1" t="s">
        <v>73</v>
      </c>
      <c r="C33" s="1">
        <v>2022</v>
      </c>
      <c r="D33" s="64">
        <v>44566</v>
      </c>
      <c r="E33" s="65">
        <v>1603.23</v>
      </c>
      <c r="F33" s="65">
        <v>1576.09</v>
      </c>
      <c r="G33" s="65">
        <v>1619.48</v>
      </c>
      <c r="H33" s="65">
        <v>1403.32</v>
      </c>
      <c r="J33" s="63">
        <v>2.6100000000000002E-2</v>
      </c>
      <c r="L33" s="20" t="s">
        <v>43</v>
      </c>
      <c r="M33" s="20">
        <v>2022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31" x14ac:dyDescent="0.25">
      <c r="A34" s="1" t="str">
        <f t="shared" si="0"/>
        <v>abril2022</v>
      </c>
      <c r="B34" s="1" t="s">
        <v>75</v>
      </c>
      <c r="C34" s="1">
        <v>2022</v>
      </c>
      <c r="D34" s="64">
        <v>44565</v>
      </c>
      <c r="E34" s="65">
        <v>1562.46</v>
      </c>
      <c r="F34" s="65">
        <v>1616.9</v>
      </c>
      <c r="G34" s="65">
        <v>1642.41</v>
      </c>
      <c r="H34" s="65">
        <v>1562.31</v>
      </c>
      <c r="J34" s="63">
        <v>-3.32E-2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31" x14ac:dyDescent="0.25">
      <c r="A35" s="1" t="str">
        <f t="shared" si="0"/>
        <v>marzo2022</v>
      </c>
      <c r="B35" s="1" t="s">
        <v>77</v>
      </c>
      <c r="C35" s="1">
        <v>2022</v>
      </c>
      <c r="D35" s="64">
        <v>44564</v>
      </c>
      <c r="E35" s="65">
        <v>1616.08</v>
      </c>
      <c r="F35" s="65">
        <v>1532.5</v>
      </c>
      <c r="G35" s="65">
        <v>1616.08</v>
      </c>
      <c r="H35" s="65">
        <v>1506.98</v>
      </c>
      <c r="J35" s="63">
        <v>5.7799999999999997E-2</v>
      </c>
      <c r="L35" s="20" t="s">
        <v>27</v>
      </c>
      <c r="M35" s="46">
        <f>M19</f>
        <v>1100000</v>
      </c>
      <c r="N35" s="48">
        <f>VLOOKUP(_xlfn.CONCAT(L35,$M$33),$A$2:$J$73,6,0)</f>
        <v>1410.76</v>
      </c>
      <c r="O35" s="20">
        <f>VLOOKUP(_xlfn.CONCAT(L46,M33),$A$1:$E$73,5,0)</f>
        <v>1286.07</v>
      </c>
      <c r="P35" s="47">
        <f t="shared" ref="P35:P46" si="23">(O35-N35)/O35</f>
        <v>-9.6954287091682453E-2</v>
      </c>
      <c r="Q35" s="46">
        <f t="shared" ref="Q35:Q46" si="24">M35*P35</f>
        <v>-106649.7158008507</v>
      </c>
      <c r="R35" s="20"/>
      <c r="S35" s="20" t="s">
        <v>27</v>
      </c>
      <c r="T35" s="49">
        <f>T19</f>
        <v>433333.33333333326</v>
      </c>
      <c r="U35" s="48">
        <f>N35</f>
        <v>1410.76</v>
      </c>
      <c r="V35" s="48">
        <f>O35</f>
        <v>1286.07</v>
      </c>
      <c r="W35" s="47">
        <f t="shared" ref="W35:W46" si="25">(V35-U35)/V35</f>
        <v>-9.6954287091682453E-2</v>
      </c>
      <c r="X35" s="46">
        <f t="shared" ref="X35:X46" si="26">T35*W35</f>
        <v>-42013.524406395722</v>
      </c>
      <c r="Z35" s="20" t="s">
        <v>27</v>
      </c>
      <c r="AA35" s="49">
        <f>'data S&amp;P500'!AM35</f>
        <v>0</v>
      </c>
      <c r="AB35" s="48">
        <f>U35</f>
        <v>1410.76</v>
      </c>
      <c r="AC35" s="48">
        <f>V35</f>
        <v>1286.07</v>
      </c>
      <c r="AD35" s="47">
        <f t="shared" ref="AD35:AD46" si="27">(AC35-AB35)/AC35</f>
        <v>-9.6954287091682453E-2</v>
      </c>
      <c r="AE35" s="46">
        <f>AA35*AD35</f>
        <v>0</v>
      </c>
    </row>
    <row r="36" spans="1:31" x14ac:dyDescent="0.25">
      <c r="A36" s="1" t="str">
        <f t="shared" si="0"/>
        <v>febrero2022</v>
      </c>
      <c r="B36" s="1" t="s">
        <v>79</v>
      </c>
      <c r="C36" s="1">
        <v>2022</v>
      </c>
      <c r="D36" s="64">
        <v>44563</v>
      </c>
      <c r="E36" s="65">
        <v>1527.75</v>
      </c>
      <c r="F36" s="65">
        <v>1536.35</v>
      </c>
      <c r="G36" s="65">
        <v>1564.22</v>
      </c>
      <c r="H36" s="65">
        <v>1468.71</v>
      </c>
      <c r="J36" s="63">
        <v>-6.0000000000000001E-3</v>
      </c>
      <c r="L36" s="20" t="s">
        <v>28</v>
      </c>
      <c r="M36" s="46">
        <f t="shared" ref="M36:M46" si="28">M20</f>
        <v>1100000</v>
      </c>
      <c r="N36" s="48">
        <f t="shared" ref="N36:N46" si="29">VLOOKUP(_xlfn.CONCAT(L36,$M$33),$A$2:$J$73,6,0)</f>
        <v>1536.35</v>
      </c>
      <c r="O36" s="20">
        <f>O35</f>
        <v>1286.07</v>
      </c>
      <c r="P36" s="47">
        <f t="shared" si="23"/>
        <v>-0.19460838057026444</v>
      </c>
      <c r="Q36" s="46">
        <f t="shared" si="24"/>
        <v>-214069.21862729089</v>
      </c>
      <c r="R36" s="20"/>
      <c r="S36" s="20" t="s">
        <v>28</v>
      </c>
      <c r="T36" s="49">
        <f t="shared" ref="T36:T46" si="30">T20</f>
        <v>1566666.6666666667</v>
      </c>
      <c r="U36" s="48">
        <f t="shared" ref="U36:V46" si="31">N36</f>
        <v>1536.35</v>
      </c>
      <c r="V36" s="48">
        <f t="shared" si="31"/>
        <v>1286.07</v>
      </c>
      <c r="W36" s="47">
        <f t="shared" si="25"/>
        <v>-0.19460838057026444</v>
      </c>
      <c r="X36" s="46">
        <f t="shared" si="26"/>
        <v>-304886.46289341431</v>
      </c>
      <c r="Z36" s="20" t="s">
        <v>28</v>
      </c>
      <c r="AA36" s="49">
        <f>'data S&amp;P500'!AM36</f>
        <v>0</v>
      </c>
      <c r="AB36" s="48">
        <f t="shared" ref="AB36:AC46" si="32">U36</f>
        <v>1536.35</v>
      </c>
      <c r="AC36" s="48">
        <f t="shared" si="32"/>
        <v>1286.07</v>
      </c>
      <c r="AD36" s="47">
        <f t="shared" si="27"/>
        <v>-0.19460838057026444</v>
      </c>
      <c r="AE36" s="46">
        <f t="shared" ref="AE36:AE46" si="33">AA36*AD36</f>
        <v>0</v>
      </c>
    </row>
    <row r="37" spans="1:31" x14ac:dyDescent="0.25">
      <c r="A37" s="1" t="str">
        <f t="shared" si="0"/>
        <v>enero2022</v>
      </c>
      <c r="B37" s="1" t="s">
        <v>81</v>
      </c>
      <c r="C37" s="1">
        <v>2022</v>
      </c>
      <c r="D37" s="64">
        <v>44562</v>
      </c>
      <c r="E37" s="65">
        <v>1536.92</v>
      </c>
      <c r="F37" s="65">
        <v>1410.76</v>
      </c>
      <c r="G37" s="65">
        <v>1598.15</v>
      </c>
      <c r="H37" s="65">
        <v>1363.38</v>
      </c>
      <c r="J37" s="63">
        <v>8.9300000000000004E-2</v>
      </c>
      <c r="L37" s="20" t="s">
        <v>29</v>
      </c>
      <c r="M37" s="46">
        <f t="shared" si="28"/>
        <v>1100000</v>
      </c>
      <c r="N37" s="48">
        <f t="shared" si="29"/>
        <v>1532.5</v>
      </c>
      <c r="O37" s="20">
        <f t="shared" ref="O37:O46" si="34">O36</f>
        <v>1286.07</v>
      </c>
      <c r="P37" s="47">
        <f t="shared" si="23"/>
        <v>-0.19161476435963834</v>
      </c>
      <c r="Q37" s="46">
        <f t="shared" si="24"/>
        <v>-210776.24079560218</v>
      </c>
      <c r="R37" s="20"/>
      <c r="S37" s="20" t="s">
        <v>29</v>
      </c>
      <c r="T37" s="49">
        <f t="shared" si="30"/>
        <v>1566666.6666666667</v>
      </c>
      <c r="U37" s="48">
        <f t="shared" si="31"/>
        <v>1532.5</v>
      </c>
      <c r="V37" s="48">
        <f t="shared" si="31"/>
        <v>1286.07</v>
      </c>
      <c r="W37" s="47">
        <f t="shared" si="25"/>
        <v>-0.19161476435963834</v>
      </c>
      <c r="X37" s="46">
        <f t="shared" si="26"/>
        <v>-300196.46416343341</v>
      </c>
      <c r="Z37" s="20" t="s">
        <v>29</v>
      </c>
      <c r="AA37" s="49">
        <f>'data S&amp;P500'!AM37</f>
        <v>0</v>
      </c>
      <c r="AB37" s="48">
        <f t="shared" si="32"/>
        <v>1532.5</v>
      </c>
      <c r="AC37" s="48">
        <f t="shared" si="32"/>
        <v>1286.07</v>
      </c>
      <c r="AD37" s="47">
        <f t="shared" si="27"/>
        <v>-0.19161476435963834</v>
      </c>
      <c r="AE37" s="46">
        <f t="shared" si="33"/>
        <v>0</v>
      </c>
    </row>
    <row r="38" spans="1:31" x14ac:dyDescent="0.25">
      <c r="A38" s="1" t="str">
        <f t="shared" si="0"/>
        <v>diciembre2021</v>
      </c>
      <c r="B38" s="1" t="s">
        <v>59</v>
      </c>
      <c r="C38" s="1">
        <v>2021</v>
      </c>
      <c r="D38" s="64">
        <v>44208</v>
      </c>
      <c r="E38" s="65">
        <v>1410.97</v>
      </c>
      <c r="F38" s="65">
        <v>1396.49</v>
      </c>
      <c r="G38" s="65">
        <v>1451.32</v>
      </c>
      <c r="H38" s="65">
        <v>1351.83</v>
      </c>
      <c r="J38" s="63">
        <v>2.7E-2</v>
      </c>
      <c r="L38" s="20" t="s">
        <v>30</v>
      </c>
      <c r="M38" s="46">
        <f t="shared" si="28"/>
        <v>1100000</v>
      </c>
      <c r="N38" s="48">
        <f t="shared" si="29"/>
        <v>1616.9</v>
      </c>
      <c r="O38" s="20">
        <f t="shared" si="34"/>
        <v>1286.07</v>
      </c>
      <c r="P38" s="47">
        <f t="shared" si="23"/>
        <v>-0.25724105219778098</v>
      </c>
      <c r="Q38" s="46">
        <f t="shared" si="24"/>
        <v>-282965.15741755906</v>
      </c>
      <c r="R38" s="20"/>
      <c r="S38" s="20" t="s">
        <v>30</v>
      </c>
      <c r="T38" s="49">
        <f t="shared" si="30"/>
        <v>700000</v>
      </c>
      <c r="U38" s="48">
        <f t="shared" si="31"/>
        <v>1616.9</v>
      </c>
      <c r="V38" s="48">
        <f t="shared" si="31"/>
        <v>1286.07</v>
      </c>
      <c r="W38" s="47">
        <f t="shared" si="25"/>
        <v>-0.25724105219778098</v>
      </c>
      <c r="X38" s="46">
        <f t="shared" si="26"/>
        <v>-180068.73653844668</v>
      </c>
      <c r="Z38" s="20" t="s">
        <v>30</v>
      </c>
      <c r="AA38" s="49">
        <f>'data S&amp;P500'!AM38</f>
        <v>0</v>
      </c>
      <c r="AB38" s="48">
        <f t="shared" si="32"/>
        <v>1616.9</v>
      </c>
      <c r="AC38" s="48">
        <f t="shared" si="32"/>
        <v>1286.07</v>
      </c>
      <c r="AD38" s="47">
        <f t="shared" si="27"/>
        <v>-0.25724105219778098</v>
      </c>
      <c r="AE38" s="46">
        <f t="shared" si="33"/>
        <v>0</v>
      </c>
    </row>
    <row r="39" spans="1:31" x14ac:dyDescent="0.25">
      <c r="A39" s="1" t="str">
        <f t="shared" si="0"/>
        <v>noviembre2021</v>
      </c>
      <c r="B39" s="1" t="s">
        <v>61</v>
      </c>
      <c r="C39" s="1">
        <v>2021</v>
      </c>
      <c r="D39" s="64">
        <v>44207</v>
      </c>
      <c r="E39" s="65">
        <v>1373.84</v>
      </c>
      <c r="F39" s="65">
        <v>1395.62</v>
      </c>
      <c r="G39" s="65">
        <v>1409.86</v>
      </c>
      <c r="H39" s="65">
        <v>1298.6400000000001</v>
      </c>
      <c r="J39" s="63">
        <v>-1.4500000000000001E-2</v>
      </c>
      <c r="L39" s="20" t="s">
        <v>31</v>
      </c>
      <c r="M39" s="46">
        <f t="shared" si="28"/>
        <v>1100000</v>
      </c>
      <c r="N39" s="48">
        <f t="shared" si="29"/>
        <v>1576.09</v>
      </c>
      <c r="O39" s="20">
        <f t="shared" si="34"/>
        <v>1286.07</v>
      </c>
      <c r="P39" s="47">
        <f t="shared" si="23"/>
        <v>-0.22550872036514341</v>
      </c>
      <c r="Q39" s="46">
        <f t="shared" si="24"/>
        <v>-248059.59240165775</v>
      </c>
      <c r="R39" s="20"/>
      <c r="S39" s="20" t="s">
        <v>31</v>
      </c>
      <c r="T39" s="49">
        <f t="shared" si="30"/>
        <v>566666.66666666674</v>
      </c>
      <c r="U39" s="48">
        <f t="shared" si="31"/>
        <v>1576.09</v>
      </c>
      <c r="V39" s="48">
        <f t="shared" si="31"/>
        <v>1286.07</v>
      </c>
      <c r="W39" s="47">
        <f t="shared" si="25"/>
        <v>-0.22550872036514341</v>
      </c>
      <c r="X39" s="46">
        <f t="shared" si="26"/>
        <v>-127788.27487358128</v>
      </c>
      <c r="Z39" s="20" t="s">
        <v>31</v>
      </c>
      <c r="AA39" s="49">
        <f>'data S&amp;P500'!AM39</f>
        <v>0</v>
      </c>
      <c r="AB39" s="48">
        <f t="shared" si="32"/>
        <v>1576.09</v>
      </c>
      <c r="AC39" s="48">
        <f t="shared" si="32"/>
        <v>1286.07</v>
      </c>
      <c r="AD39" s="47">
        <f t="shared" si="27"/>
        <v>-0.22550872036514341</v>
      </c>
      <c r="AE39" s="46">
        <f t="shared" si="33"/>
        <v>0</v>
      </c>
    </row>
    <row r="40" spans="1:31" x14ac:dyDescent="0.25">
      <c r="A40" s="1" t="str">
        <f t="shared" si="0"/>
        <v>octubre2021</v>
      </c>
      <c r="B40" s="1" t="s">
        <v>63</v>
      </c>
      <c r="C40" s="1">
        <v>2021</v>
      </c>
      <c r="D40" s="64">
        <v>44206</v>
      </c>
      <c r="E40" s="65">
        <v>1394.04</v>
      </c>
      <c r="F40" s="65">
        <v>1362.08</v>
      </c>
      <c r="G40" s="65">
        <v>1429.85</v>
      </c>
      <c r="H40" s="65">
        <v>1359.3</v>
      </c>
      <c r="J40" s="63">
        <v>2.3599999999999999E-2</v>
      </c>
      <c r="L40" s="20" t="s">
        <v>32</v>
      </c>
      <c r="M40" s="46">
        <f t="shared" si="28"/>
        <v>1100000</v>
      </c>
      <c r="N40" s="48">
        <f t="shared" si="29"/>
        <v>1615.11</v>
      </c>
      <c r="O40" s="20">
        <f t="shared" si="34"/>
        <v>1286.07</v>
      </c>
      <c r="P40" s="47">
        <f t="shared" si="23"/>
        <v>-0.25584921505050268</v>
      </c>
      <c r="Q40" s="46">
        <f t="shared" si="24"/>
        <v>-281434.13655555295</v>
      </c>
      <c r="R40" s="20"/>
      <c r="S40" s="20" t="s">
        <v>32</v>
      </c>
      <c r="T40" s="49">
        <f t="shared" si="30"/>
        <v>300000</v>
      </c>
      <c r="U40" s="48">
        <f t="shared" si="31"/>
        <v>1615.11</v>
      </c>
      <c r="V40" s="48">
        <f t="shared" si="31"/>
        <v>1286.07</v>
      </c>
      <c r="W40" s="47">
        <f t="shared" si="25"/>
        <v>-0.25584921505050268</v>
      </c>
      <c r="X40" s="46">
        <f t="shared" si="26"/>
        <v>-76754.764515150804</v>
      </c>
      <c r="Z40" s="20" t="s">
        <v>32</v>
      </c>
      <c r="AA40" s="49">
        <f>'data S&amp;P500'!AM40</f>
        <v>0</v>
      </c>
      <c r="AB40" s="48">
        <f t="shared" si="32"/>
        <v>1615.11</v>
      </c>
      <c r="AC40" s="48">
        <f t="shared" si="32"/>
        <v>1286.07</v>
      </c>
      <c r="AD40" s="47">
        <f t="shared" si="27"/>
        <v>-0.25584921505050268</v>
      </c>
      <c r="AE40" s="46">
        <f t="shared" si="33"/>
        <v>0</v>
      </c>
    </row>
    <row r="41" spans="1:31" x14ac:dyDescent="0.25">
      <c r="A41" s="1" t="str">
        <f t="shared" si="0"/>
        <v>septiembre2021</v>
      </c>
      <c r="B41" s="1" t="s">
        <v>65</v>
      </c>
      <c r="C41" s="1">
        <v>2021</v>
      </c>
      <c r="D41" s="64">
        <v>44205</v>
      </c>
      <c r="E41" s="65">
        <v>1361.95</v>
      </c>
      <c r="F41" s="65">
        <v>1320.61</v>
      </c>
      <c r="G41" s="65">
        <v>1363.05</v>
      </c>
      <c r="H41" s="65">
        <v>1301.32</v>
      </c>
      <c r="J41" s="63">
        <v>3.1800000000000002E-2</v>
      </c>
      <c r="L41" s="20" t="s">
        <v>33</v>
      </c>
      <c r="M41" s="46">
        <f t="shared" si="28"/>
        <v>1100000</v>
      </c>
      <c r="N41" s="48">
        <f t="shared" si="29"/>
        <v>1324.23</v>
      </c>
      <c r="O41" s="20">
        <f t="shared" si="34"/>
        <v>1286.07</v>
      </c>
      <c r="P41" s="47">
        <f t="shared" si="23"/>
        <v>-2.967179080454414E-2</v>
      </c>
      <c r="Q41" s="46">
        <f t="shared" si="24"/>
        <v>-32638.969884998554</v>
      </c>
      <c r="R41" s="20"/>
      <c r="S41" s="20" t="s">
        <v>33</v>
      </c>
      <c r="T41" s="49">
        <f t="shared" si="30"/>
        <v>1566666.6666666667</v>
      </c>
      <c r="U41" s="48">
        <f t="shared" si="31"/>
        <v>1324.23</v>
      </c>
      <c r="V41" s="48">
        <f t="shared" si="31"/>
        <v>1286.07</v>
      </c>
      <c r="W41" s="47">
        <f t="shared" si="25"/>
        <v>-2.967179080454414E-2</v>
      </c>
      <c r="X41" s="46">
        <f t="shared" si="26"/>
        <v>-46485.805593785823</v>
      </c>
      <c r="Z41" s="20" t="s">
        <v>33</v>
      </c>
      <c r="AA41" s="49">
        <f>'data S&amp;P500'!AM41</f>
        <v>0</v>
      </c>
      <c r="AB41" s="48">
        <f t="shared" si="32"/>
        <v>1324.23</v>
      </c>
      <c r="AC41" s="48">
        <f t="shared" si="32"/>
        <v>1286.07</v>
      </c>
      <c r="AD41" s="47">
        <f t="shared" si="27"/>
        <v>-2.967179080454414E-2</v>
      </c>
      <c r="AE41" s="46">
        <f t="shared" si="33"/>
        <v>0</v>
      </c>
    </row>
    <row r="42" spans="1:31" x14ac:dyDescent="0.25">
      <c r="A42" s="1" t="str">
        <f t="shared" si="0"/>
        <v>agosto2021</v>
      </c>
      <c r="B42" s="1" t="s">
        <v>67</v>
      </c>
      <c r="C42" s="1">
        <v>2021</v>
      </c>
      <c r="D42" s="64">
        <v>44204</v>
      </c>
      <c r="E42" s="65">
        <v>1319.96</v>
      </c>
      <c r="F42" s="65">
        <v>1236.73</v>
      </c>
      <c r="G42" s="65">
        <v>1341.28</v>
      </c>
      <c r="H42" s="65">
        <v>1222.53</v>
      </c>
      <c r="J42" s="63">
        <v>6.7299999999999999E-2</v>
      </c>
      <c r="L42" s="20" t="s">
        <v>34</v>
      </c>
      <c r="M42" s="46">
        <f t="shared" si="28"/>
        <v>1100000</v>
      </c>
      <c r="N42" s="48">
        <f t="shared" si="29"/>
        <v>1289.06</v>
      </c>
      <c r="O42" s="20">
        <f t="shared" si="34"/>
        <v>1286.07</v>
      </c>
      <c r="P42" s="47">
        <f t="shared" si="23"/>
        <v>-2.3249123298109816E-3</v>
      </c>
      <c r="Q42" s="46">
        <f t="shared" si="24"/>
        <v>-2557.4035627920798</v>
      </c>
      <c r="R42" s="20"/>
      <c r="S42" s="20" t="s">
        <v>34</v>
      </c>
      <c r="T42" s="49">
        <f t="shared" si="30"/>
        <v>1566666.6666666667</v>
      </c>
      <c r="U42" s="48">
        <f t="shared" si="31"/>
        <v>1289.06</v>
      </c>
      <c r="V42" s="48">
        <f t="shared" si="31"/>
        <v>1286.07</v>
      </c>
      <c r="W42" s="47">
        <f t="shared" si="25"/>
        <v>-2.3249123298109816E-3</v>
      </c>
      <c r="X42" s="46">
        <f t="shared" si="26"/>
        <v>-3642.3626500372047</v>
      </c>
      <c r="Z42" s="20" t="s">
        <v>34</v>
      </c>
      <c r="AA42" s="49">
        <f>'data S&amp;P500'!AM42</f>
        <v>0</v>
      </c>
      <c r="AB42" s="48">
        <f t="shared" si="32"/>
        <v>1289.06</v>
      </c>
      <c r="AC42" s="48">
        <f t="shared" si="32"/>
        <v>1286.07</v>
      </c>
      <c r="AD42" s="47">
        <f t="shared" si="27"/>
        <v>-2.3249123298109816E-3</v>
      </c>
      <c r="AE42" s="46">
        <f t="shared" si="33"/>
        <v>0</v>
      </c>
    </row>
    <row r="43" spans="1:31" x14ac:dyDescent="0.25">
      <c r="A43" s="1" t="str">
        <f t="shared" si="0"/>
        <v>julio2021</v>
      </c>
      <c r="B43" s="1" t="s">
        <v>69</v>
      </c>
      <c r="C43" s="1">
        <v>2021</v>
      </c>
      <c r="D43" s="64">
        <v>44203</v>
      </c>
      <c r="E43" s="65">
        <v>1236.73</v>
      </c>
      <c r="F43" s="65">
        <v>1251.56</v>
      </c>
      <c r="G43" s="65">
        <v>1300.0999999999999</v>
      </c>
      <c r="H43" s="65">
        <v>1232.3800000000001</v>
      </c>
      <c r="J43" s="63">
        <v>-9.7000000000000003E-3</v>
      </c>
      <c r="L43" s="20" t="s">
        <v>35</v>
      </c>
      <c r="M43" s="46">
        <f t="shared" si="28"/>
        <v>1100000</v>
      </c>
      <c r="N43" s="48">
        <f t="shared" si="29"/>
        <v>1228.6500000000001</v>
      </c>
      <c r="O43" s="20">
        <f t="shared" si="34"/>
        <v>1286.07</v>
      </c>
      <c r="P43" s="47">
        <f t="shared" si="23"/>
        <v>4.4647647484195918E-2</v>
      </c>
      <c r="Q43" s="46">
        <f t="shared" si="24"/>
        <v>49112.412232615512</v>
      </c>
      <c r="R43" s="20"/>
      <c r="S43" s="20" t="s">
        <v>35</v>
      </c>
      <c r="T43" s="49">
        <f t="shared" si="30"/>
        <v>966666.66666666663</v>
      </c>
      <c r="U43" s="48">
        <f t="shared" si="31"/>
        <v>1228.6500000000001</v>
      </c>
      <c r="V43" s="48">
        <f t="shared" si="31"/>
        <v>1286.07</v>
      </c>
      <c r="W43" s="47">
        <f t="shared" si="25"/>
        <v>4.4647647484195918E-2</v>
      </c>
      <c r="X43" s="46">
        <f t="shared" si="26"/>
        <v>43159.39256805605</v>
      </c>
      <c r="Z43" s="20" t="s">
        <v>35</v>
      </c>
      <c r="AA43" s="49">
        <f>'data S&amp;P500'!AM43</f>
        <v>0</v>
      </c>
      <c r="AB43" s="48">
        <f t="shared" si="32"/>
        <v>1228.6500000000001</v>
      </c>
      <c r="AC43" s="48">
        <f t="shared" si="32"/>
        <v>1286.07</v>
      </c>
      <c r="AD43" s="47">
        <f t="shared" si="27"/>
        <v>4.4647647484195918E-2</v>
      </c>
      <c r="AE43" s="46">
        <f t="shared" si="33"/>
        <v>0</v>
      </c>
    </row>
    <row r="44" spans="1:31" x14ac:dyDescent="0.25">
      <c r="A44" s="1" t="str">
        <f t="shared" si="0"/>
        <v>junio2021</v>
      </c>
      <c r="B44" s="1" t="s">
        <v>71</v>
      </c>
      <c r="C44" s="1">
        <v>2021</v>
      </c>
      <c r="D44" s="64">
        <v>44202</v>
      </c>
      <c r="E44" s="65">
        <v>1248.83</v>
      </c>
      <c r="F44" s="65">
        <v>1204.8499999999999</v>
      </c>
      <c r="G44" s="65">
        <v>1286.95</v>
      </c>
      <c r="H44" s="65">
        <v>1204.8499999999999</v>
      </c>
      <c r="J44" s="63">
        <v>3.9899999999999998E-2</v>
      </c>
      <c r="L44" s="20" t="s">
        <v>36</v>
      </c>
      <c r="M44" s="46">
        <f t="shared" si="28"/>
        <v>1100000</v>
      </c>
      <c r="N44" s="48">
        <f t="shared" si="29"/>
        <v>1132.29</v>
      </c>
      <c r="O44" s="20">
        <f t="shared" si="34"/>
        <v>1286.07</v>
      </c>
      <c r="P44" s="47">
        <f t="shared" si="23"/>
        <v>0.11957358464158248</v>
      </c>
      <c r="Q44" s="46">
        <f t="shared" si="24"/>
        <v>131530.94310574073</v>
      </c>
      <c r="R44" s="20"/>
      <c r="S44" s="20" t="s">
        <v>36</v>
      </c>
      <c r="T44" s="49">
        <f t="shared" si="30"/>
        <v>1566666.6666666667</v>
      </c>
      <c r="U44" s="48">
        <f t="shared" si="31"/>
        <v>1132.29</v>
      </c>
      <c r="V44" s="48">
        <f t="shared" si="31"/>
        <v>1286.07</v>
      </c>
      <c r="W44" s="47">
        <f t="shared" si="25"/>
        <v>0.11957358464158248</v>
      </c>
      <c r="X44" s="46">
        <f t="shared" si="26"/>
        <v>187331.94927181257</v>
      </c>
      <c r="Z44" s="20" t="s">
        <v>36</v>
      </c>
      <c r="AA44" s="49">
        <f>'data S&amp;P500'!AM44</f>
        <v>0</v>
      </c>
      <c r="AB44" s="48">
        <f t="shared" si="32"/>
        <v>1132.29</v>
      </c>
      <c r="AC44" s="48">
        <f t="shared" si="32"/>
        <v>1286.07</v>
      </c>
      <c r="AD44" s="47">
        <f t="shared" si="27"/>
        <v>0.11957358464158248</v>
      </c>
      <c r="AE44" s="46">
        <f t="shared" si="33"/>
        <v>0</v>
      </c>
    </row>
    <row r="45" spans="1:31" x14ac:dyDescent="0.25">
      <c r="A45" s="1" t="str">
        <f t="shared" si="0"/>
        <v>mayo2021</v>
      </c>
      <c r="B45" s="1" t="s">
        <v>73</v>
      </c>
      <c r="C45" s="1">
        <v>2021</v>
      </c>
      <c r="D45" s="64">
        <v>44201</v>
      </c>
      <c r="E45" s="65">
        <v>1200.9000000000001</v>
      </c>
      <c r="F45" s="65">
        <v>1250.6500000000001</v>
      </c>
      <c r="G45" s="65">
        <v>1311.73</v>
      </c>
      <c r="H45" s="65">
        <v>1181.53</v>
      </c>
      <c r="J45" s="63">
        <v>-3.9800000000000002E-2</v>
      </c>
      <c r="L45" s="20" t="s">
        <v>37</v>
      </c>
      <c r="M45" s="46">
        <f t="shared" si="28"/>
        <v>1100000</v>
      </c>
      <c r="N45" s="48">
        <f t="shared" si="29"/>
        <v>1235.72</v>
      </c>
      <c r="O45" s="20">
        <f t="shared" si="34"/>
        <v>1286.07</v>
      </c>
      <c r="P45" s="47">
        <f t="shared" si="23"/>
        <v>3.9150279533773362E-2</v>
      </c>
      <c r="Q45" s="46">
        <f t="shared" si="24"/>
        <v>43065.307487150698</v>
      </c>
      <c r="R45" s="20"/>
      <c r="S45" s="20" t="s">
        <v>37</v>
      </c>
      <c r="T45" s="49">
        <f t="shared" si="30"/>
        <v>1566666.6666666667</v>
      </c>
      <c r="U45" s="48">
        <f t="shared" si="31"/>
        <v>1235.72</v>
      </c>
      <c r="V45" s="48">
        <f t="shared" si="31"/>
        <v>1286.07</v>
      </c>
      <c r="W45" s="47">
        <f t="shared" si="25"/>
        <v>3.9150279533773362E-2</v>
      </c>
      <c r="X45" s="46">
        <f t="shared" si="26"/>
        <v>61335.43793624494</v>
      </c>
      <c r="Z45" s="20" t="s">
        <v>37</v>
      </c>
      <c r="AA45" s="49">
        <f>'data S&amp;P500'!AM45</f>
        <v>0</v>
      </c>
      <c r="AB45" s="48">
        <f t="shared" si="32"/>
        <v>1235.72</v>
      </c>
      <c r="AC45" s="48">
        <f t="shared" si="32"/>
        <v>1286.07</v>
      </c>
      <c r="AD45" s="47">
        <f t="shared" si="27"/>
        <v>3.9150279533773362E-2</v>
      </c>
      <c r="AE45" s="46">
        <f t="shared" si="33"/>
        <v>0</v>
      </c>
    </row>
    <row r="46" spans="1:31" x14ac:dyDescent="0.25">
      <c r="A46" s="1" t="str">
        <f t="shared" si="0"/>
        <v>abril2021</v>
      </c>
      <c r="B46" s="1" t="s">
        <v>75</v>
      </c>
      <c r="C46" s="1">
        <v>2021</v>
      </c>
      <c r="D46" s="64">
        <v>44200</v>
      </c>
      <c r="E46" s="65">
        <v>1250.6500000000001</v>
      </c>
      <c r="F46" s="65">
        <v>1316.81</v>
      </c>
      <c r="G46" s="65">
        <v>1335.89</v>
      </c>
      <c r="H46" s="65">
        <v>1250.52</v>
      </c>
      <c r="J46" s="63">
        <v>-5.0200000000000002E-2</v>
      </c>
      <c r="L46" s="20" t="s">
        <v>38</v>
      </c>
      <c r="M46" s="46">
        <f t="shared" si="28"/>
        <v>1100000</v>
      </c>
      <c r="N46" s="48">
        <f t="shared" si="29"/>
        <v>1235.3499999999999</v>
      </c>
      <c r="O46" s="20">
        <f t="shared" si="34"/>
        <v>1286.07</v>
      </c>
      <c r="P46" s="47">
        <f t="shared" si="23"/>
        <v>3.9437977715054411E-2</v>
      </c>
      <c r="Q46" s="46">
        <f t="shared" si="24"/>
        <v>43381.775486559854</v>
      </c>
      <c r="R46" s="20"/>
      <c r="S46" s="20" t="s">
        <v>38</v>
      </c>
      <c r="T46" s="49">
        <f t="shared" si="30"/>
        <v>833333.33333333349</v>
      </c>
      <c r="U46" s="48">
        <f t="shared" si="31"/>
        <v>1235.3499999999999</v>
      </c>
      <c r="V46" s="48">
        <f t="shared" si="31"/>
        <v>1286.07</v>
      </c>
      <c r="W46" s="47">
        <f t="shared" si="25"/>
        <v>3.9437977715054411E-2</v>
      </c>
      <c r="X46" s="46">
        <f t="shared" si="26"/>
        <v>32864.981429212014</v>
      </c>
      <c r="Z46" s="20" t="s">
        <v>38</v>
      </c>
      <c r="AA46" s="49">
        <f>'data S&amp;P500'!AM46</f>
        <v>0</v>
      </c>
      <c r="AB46" s="48">
        <f t="shared" si="32"/>
        <v>1235.3499999999999</v>
      </c>
      <c r="AC46" s="48">
        <f t="shared" si="32"/>
        <v>1286.07</v>
      </c>
      <c r="AD46" s="47">
        <f t="shared" si="27"/>
        <v>3.9437977715054411E-2</v>
      </c>
      <c r="AE46" s="46">
        <f t="shared" si="33"/>
        <v>0</v>
      </c>
    </row>
    <row r="47" spans="1:31" x14ac:dyDescent="0.25">
      <c r="A47" s="1" t="str">
        <f t="shared" si="0"/>
        <v>marzo2021</v>
      </c>
      <c r="B47" s="1" t="s">
        <v>77</v>
      </c>
      <c r="C47" s="1">
        <v>2021</v>
      </c>
      <c r="D47" s="64">
        <v>44199</v>
      </c>
      <c r="E47" s="65">
        <v>1316.81</v>
      </c>
      <c r="F47" s="65">
        <v>1359.48</v>
      </c>
      <c r="G47" s="65">
        <v>1360.79</v>
      </c>
      <c r="H47" s="65">
        <v>1309.03</v>
      </c>
      <c r="J47" s="63">
        <v>-3.1399999999999997E-2</v>
      </c>
      <c r="L47" s="20"/>
      <c r="M47" s="46">
        <f>SUM(M35:M46)</f>
        <v>13200000</v>
      </c>
      <c r="N47" s="20"/>
      <c r="O47" s="20"/>
      <c r="P47" s="47">
        <f>Q47/M47</f>
        <v>-8.4246969449563447E-2</v>
      </c>
      <c r="Q47" s="46">
        <f>SUM(Q35:Q46)</f>
        <v>-1112059.9967342375</v>
      </c>
      <c r="R47" s="20"/>
      <c r="S47" s="20"/>
      <c r="T47" s="46">
        <f>SUM(T35:T46)</f>
        <v>13200000</v>
      </c>
      <c r="U47" s="20"/>
      <c r="V47" s="20"/>
      <c r="W47" s="47">
        <f>X47/T47</f>
        <v>-5.735944200219089E-2</v>
      </c>
      <c r="X47" s="46">
        <f>SUM(X35:X46)</f>
        <v>-757144.63442891976</v>
      </c>
      <c r="Z47" s="20"/>
      <c r="AA47" s="46">
        <f>SUM(AA35:AA46)</f>
        <v>0</v>
      </c>
      <c r="AB47" s="20"/>
      <c r="AC47" s="20"/>
      <c r="AD47" s="47" t="e">
        <f>AE47/AA47</f>
        <v>#DIV/0!</v>
      </c>
      <c r="AE47" s="46">
        <f>SUM(AE35:AE46)</f>
        <v>0</v>
      </c>
    </row>
    <row r="48" spans="1:31" x14ac:dyDescent="0.25">
      <c r="A48" s="1" t="str">
        <f t="shared" si="0"/>
        <v>febrero2021</v>
      </c>
      <c r="B48" s="1" t="s">
        <v>79</v>
      </c>
      <c r="C48" s="1">
        <v>2021</v>
      </c>
      <c r="D48" s="64">
        <v>44198</v>
      </c>
      <c r="E48" s="65">
        <v>1359.48</v>
      </c>
      <c r="F48" s="65">
        <v>1348.12</v>
      </c>
      <c r="G48" s="65">
        <v>1385.57</v>
      </c>
      <c r="H48" s="65">
        <v>1321.73</v>
      </c>
      <c r="J48" s="63">
        <v>8.3999999999999995E-3</v>
      </c>
    </row>
    <row r="49" spans="1:31" x14ac:dyDescent="0.25">
      <c r="A49" s="1" t="str">
        <f t="shared" si="0"/>
        <v>enero2021</v>
      </c>
      <c r="B49" s="1" t="s">
        <v>81</v>
      </c>
      <c r="C49" s="1">
        <v>2021</v>
      </c>
      <c r="D49" s="64">
        <v>44197</v>
      </c>
      <c r="E49" s="65">
        <v>1348.12</v>
      </c>
      <c r="F49" s="65">
        <v>1437.89</v>
      </c>
      <c r="G49" s="65">
        <v>1468.16</v>
      </c>
      <c r="H49" s="65">
        <v>1346.54</v>
      </c>
      <c r="J49" s="63">
        <v>-6.2399999999999997E-2</v>
      </c>
      <c r="L49" s="20" t="s">
        <v>43</v>
      </c>
      <c r="M49" s="20">
        <v>2021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</row>
    <row r="50" spans="1:31" x14ac:dyDescent="0.25">
      <c r="A50" s="1" t="str">
        <f t="shared" si="0"/>
        <v>diciembre2020</v>
      </c>
      <c r="B50" s="1" t="s">
        <v>59</v>
      </c>
      <c r="C50" s="1">
        <v>2020</v>
      </c>
      <c r="D50" s="64">
        <v>43842</v>
      </c>
      <c r="E50" s="65">
        <v>1437.89</v>
      </c>
      <c r="F50" s="65">
        <v>1258</v>
      </c>
      <c r="G50" s="65">
        <v>1452.59</v>
      </c>
      <c r="H50" s="65">
        <v>1256.28</v>
      </c>
      <c r="J50" s="63">
        <v>0.14299999999999999</v>
      </c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</row>
    <row r="51" spans="1:31" x14ac:dyDescent="0.25">
      <c r="A51" s="1" t="str">
        <f t="shared" si="0"/>
        <v>noviembre2020</v>
      </c>
      <c r="B51" s="1" t="s">
        <v>61</v>
      </c>
      <c r="C51" s="1">
        <v>2020</v>
      </c>
      <c r="D51" s="64">
        <v>43841</v>
      </c>
      <c r="E51" s="65">
        <v>1258</v>
      </c>
      <c r="F51" s="65">
        <v>1136.75</v>
      </c>
      <c r="G51" s="65">
        <v>1275.5899999999999</v>
      </c>
      <c r="H51" s="65">
        <v>1136.75</v>
      </c>
      <c r="J51" s="63">
        <v>0.1067</v>
      </c>
      <c r="L51" s="20" t="s">
        <v>27</v>
      </c>
      <c r="M51" s="46">
        <f>M35</f>
        <v>1100000</v>
      </c>
      <c r="N51" s="48">
        <f>VLOOKUP(_xlfn.CONCAT(L51,$M$49),$A$2:$J$73,6,0)</f>
        <v>1437.89</v>
      </c>
      <c r="O51" s="20">
        <f>VLOOKUP(_xlfn.CONCAT(L62,M49),$A$1:$E$73,5,0)</f>
        <v>1410.97</v>
      </c>
      <c r="P51" s="47">
        <f>(O51-N51)/O51</f>
        <v>-1.9079073261656927E-2</v>
      </c>
      <c r="Q51" s="46">
        <f t="shared" ref="Q51:Q62" si="35">M51*P51</f>
        <v>-20986.980587822622</v>
      </c>
      <c r="R51" s="20"/>
      <c r="S51" s="20" t="s">
        <v>27</v>
      </c>
      <c r="T51" s="49">
        <f>T35</f>
        <v>433333.33333333326</v>
      </c>
      <c r="U51" s="48">
        <f>N51</f>
        <v>1437.89</v>
      </c>
      <c r="V51" s="48">
        <f>O51</f>
        <v>1410.97</v>
      </c>
      <c r="W51" s="47">
        <f t="shared" ref="W51:W62" si="36">(V51-U51)/V51</f>
        <v>-1.9079073261656927E-2</v>
      </c>
      <c r="X51" s="46">
        <f t="shared" ref="X51:X62" si="37">T51*W51</f>
        <v>-8267.5984133846669</v>
      </c>
      <c r="Z51" s="20" t="s">
        <v>27</v>
      </c>
      <c r="AA51" s="49">
        <f>'data S&amp;P500'!AM51</f>
        <v>0</v>
      </c>
      <c r="AB51" s="48">
        <f>U51</f>
        <v>1437.89</v>
      </c>
      <c r="AC51" s="48">
        <f>V51</f>
        <v>1410.97</v>
      </c>
      <c r="AD51" s="47">
        <f t="shared" ref="AD51:AD62" si="38">(AC51-AB51)/AC51</f>
        <v>-1.9079073261656927E-2</v>
      </c>
      <c r="AE51" s="46">
        <f>AA51*AD51</f>
        <v>0</v>
      </c>
    </row>
    <row r="52" spans="1:31" x14ac:dyDescent="0.25">
      <c r="A52" s="1" t="str">
        <f t="shared" si="0"/>
        <v>octubre2020</v>
      </c>
      <c r="B52" s="1" t="s">
        <v>63</v>
      </c>
      <c r="C52" s="1">
        <v>2020</v>
      </c>
      <c r="D52" s="64">
        <v>43840</v>
      </c>
      <c r="E52" s="65">
        <v>1136.75</v>
      </c>
      <c r="F52" s="65">
        <v>1171.92</v>
      </c>
      <c r="G52" s="65">
        <v>1190.01</v>
      </c>
      <c r="H52" s="65">
        <v>1103.6099999999999</v>
      </c>
      <c r="J52" s="63">
        <v>-0.03</v>
      </c>
      <c r="L52" s="20" t="s">
        <v>28</v>
      </c>
      <c r="M52" s="46">
        <f t="shared" ref="M52:M62" si="39">M36</f>
        <v>1100000</v>
      </c>
      <c r="N52" s="48">
        <f t="shared" ref="N52:N62" si="40">VLOOKUP(_xlfn.CONCAT(L52,$M$49),$A$2:$J$73,6,0)</f>
        <v>1348.12</v>
      </c>
      <c r="O52" s="20">
        <f>O51</f>
        <v>1410.97</v>
      </c>
      <c r="P52" s="47">
        <f t="shared" ref="P52:P62" si="41">(O52-N52)/O52</f>
        <v>4.454382446118637E-2</v>
      </c>
      <c r="Q52" s="46">
        <f t="shared" si="35"/>
        <v>48998.206907305008</v>
      </c>
      <c r="R52" s="20"/>
      <c r="S52" s="20" t="s">
        <v>28</v>
      </c>
      <c r="T52" s="49">
        <f t="shared" ref="T52:T62" si="42">T36</f>
        <v>1566666.6666666667</v>
      </c>
      <c r="U52" s="48">
        <f t="shared" ref="U52:V62" si="43">N52</f>
        <v>1348.12</v>
      </c>
      <c r="V52" s="48">
        <f t="shared" si="43"/>
        <v>1410.97</v>
      </c>
      <c r="W52" s="47">
        <f t="shared" si="36"/>
        <v>4.454382446118637E-2</v>
      </c>
      <c r="X52" s="46">
        <f t="shared" si="37"/>
        <v>69785.324989191984</v>
      </c>
      <c r="Z52" s="20" t="s">
        <v>28</v>
      </c>
      <c r="AA52" s="49">
        <f>'data S&amp;P500'!AM52</f>
        <v>0</v>
      </c>
      <c r="AB52" s="48">
        <f t="shared" ref="AB52:AC62" si="44">U52</f>
        <v>1348.12</v>
      </c>
      <c r="AC52" s="48">
        <f t="shared" si="44"/>
        <v>1410.97</v>
      </c>
      <c r="AD52" s="47">
        <f t="shared" si="38"/>
        <v>4.454382446118637E-2</v>
      </c>
      <c r="AE52" s="46">
        <f t="shared" ref="AE52:AE62" si="45">AA52*AD52</f>
        <v>0</v>
      </c>
    </row>
    <row r="53" spans="1:31" x14ac:dyDescent="0.25">
      <c r="A53" s="1" t="str">
        <f t="shared" si="0"/>
        <v>septiembre2020</v>
      </c>
      <c r="B53" s="1" t="s">
        <v>65</v>
      </c>
      <c r="C53" s="1">
        <v>2020</v>
      </c>
      <c r="D53" s="64">
        <v>43839</v>
      </c>
      <c r="E53" s="65">
        <v>1171.92</v>
      </c>
      <c r="F53" s="65">
        <v>1216.03</v>
      </c>
      <c r="G53" s="65">
        <v>1270.3699999999999</v>
      </c>
      <c r="H53" s="65">
        <v>1162.6199999999999</v>
      </c>
      <c r="J53" s="63">
        <v>-3.6299999999999999E-2</v>
      </c>
      <c r="L53" s="20" t="s">
        <v>29</v>
      </c>
      <c r="M53" s="46">
        <f t="shared" si="39"/>
        <v>1100000</v>
      </c>
      <c r="N53" s="48">
        <f t="shared" si="40"/>
        <v>1359.48</v>
      </c>
      <c r="O53" s="20">
        <f t="shared" ref="O53:O62" si="46">O52</f>
        <v>1410.97</v>
      </c>
      <c r="P53" s="47">
        <f t="shared" si="41"/>
        <v>3.6492625640516814E-2</v>
      </c>
      <c r="Q53" s="46">
        <f t="shared" si="35"/>
        <v>40141.888204568495</v>
      </c>
      <c r="R53" s="20"/>
      <c r="S53" s="20" t="s">
        <v>29</v>
      </c>
      <c r="T53" s="49">
        <f t="shared" si="42"/>
        <v>1566666.6666666667</v>
      </c>
      <c r="U53" s="48">
        <f t="shared" si="43"/>
        <v>1359.48</v>
      </c>
      <c r="V53" s="48">
        <f t="shared" si="43"/>
        <v>1410.97</v>
      </c>
      <c r="W53" s="47">
        <f t="shared" si="36"/>
        <v>3.6492625640516814E-2</v>
      </c>
      <c r="X53" s="46">
        <f t="shared" si="37"/>
        <v>57171.780170143014</v>
      </c>
      <c r="Z53" s="20" t="s">
        <v>29</v>
      </c>
      <c r="AA53" s="49">
        <f>'data S&amp;P500'!AM53</f>
        <v>0</v>
      </c>
      <c r="AB53" s="48">
        <f t="shared" si="44"/>
        <v>1359.48</v>
      </c>
      <c r="AC53" s="48">
        <f t="shared" si="44"/>
        <v>1410.97</v>
      </c>
      <c r="AD53" s="47">
        <f t="shared" si="38"/>
        <v>3.6492625640516814E-2</v>
      </c>
      <c r="AE53" s="46">
        <f t="shared" si="45"/>
        <v>0</v>
      </c>
    </row>
    <row r="54" spans="1:31" x14ac:dyDescent="0.25">
      <c r="A54" s="1" t="str">
        <f t="shared" si="0"/>
        <v>agosto2020</v>
      </c>
      <c r="B54" s="1" t="s">
        <v>67</v>
      </c>
      <c r="C54" s="1">
        <v>2020</v>
      </c>
      <c r="D54" s="64">
        <v>43838</v>
      </c>
      <c r="E54" s="65">
        <v>1216.03</v>
      </c>
      <c r="F54" s="65">
        <v>1134.3399999999999</v>
      </c>
      <c r="G54" s="65">
        <v>1236.0999999999999</v>
      </c>
      <c r="H54" s="65">
        <v>1128.03</v>
      </c>
      <c r="J54" s="63">
        <v>7.1999999999999995E-2</v>
      </c>
      <c r="L54" s="20" t="s">
        <v>30</v>
      </c>
      <c r="M54" s="46">
        <f t="shared" si="39"/>
        <v>1100000</v>
      </c>
      <c r="N54" s="48">
        <f t="shared" si="40"/>
        <v>1316.81</v>
      </c>
      <c r="O54" s="20">
        <f t="shared" si="46"/>
        <v>1410.97</v>
      </c>
      <c r="P54" s="47">
        <f t="shared" si="41"/>
        <v>6.6734232478366004E-2</v>
      </c>
      <c r="Q54" s="46">
        <f t="shared" si="35"/>
        <v>73407.655726202604</v>
      </c>
      <c r="R54" s="20"/>
      <c r="S54" s="20" t="s">
        <v>30</v>
      </c>
      <c r="T54" s="49">
        <f t="shared" si="42"/>
        <v>700000</v>
      </c>
      <c r="U54" s="48">
        <f t="shared" si="43"/>
        <v>1316.81</v>
      </c>
      <c r="V54" s="48">
        <f t="shared" si="43"/>
        <v>1410.97</v>
      </c>
      <c r="W54" s="47">
        <f t="shared" si="36"/>
        <v>6.6734232478366004E-2</v>
      </c>
      <c r="X54" s="46">
        <f t="shared" si="37"/>
        <v>46713.962734856206</v>
      </c>
      <c r="Z54" s="20" t="s">
        <v>30</v>
      </c>
      <c r="AA54" s="49">
        <f>'data S&amp;P500'!AM54</f>
        <v>0</v>
      </c>
      <c r="AB54" s="48">
        <f t="shared" si="44"/>
        <v>1316.81</v>
      </c>
      <c r="AC54" s="48">
        <f t="shared" si="44"/>
        <v>1410.97</v>
      </c>
      <c r="AD54" s="47">
        <f t="shared" si="38"/>
        <v>6.6734232478366004E-2</v>
      </c>
      <c r="AE54" s="46">
        <f t="shared" si="45"/>
        <v>0</v>
      </c>
    </row>
    <row r="55" spans="1:31" x14ac:dyDescent="0.25">
      <c r="A55" s="1" t="str">
        <f t="shared" si="0"/>
        <v>julio2020</v>
      </c>
      <c r="B55" s="1" t="s">
        <v>69</v>
      </c>
      <c r="C55" s="1">
        <v>2020</v>
      </c>
      <c r="D55" s="64">
        <v>43837</v>
      </c>
      <c r="E55" s="65">
        <v>1134.3399999999999</v>
      </c>
      <c r="F55" s="65">
        <v>1111.8</v>
      </c>
      <c r="G55" s="65">
        <v>1184.3399999999999</v>
      </c>
      <c r="H55" s="65">
        <v>1109.7</v>
      </c>
      <c r="J55" s="63">
        <v>2.0299999999999999E-2</v>
      </c>
      <c r="L55" s="20" t="s">
        <v>31</v>
      </c>
      <c r="M55" s="46">
        <f t="shared" si="39"/>
        <v>1100000</v>
      </c>
      <c r="N55" s="48">
        <f t="shared" si="40"/>
        <v>1250.6500000000001</v>
      </c>
      <c r="O55" s="20">
        <f t="shared" si="46"/>
        <v>1410.97</v>
      </c>
      <c r="P55" s="47">
        <f t="shared" si="41"/>
        <v>0.11362396082127893</v>
      </c>
      <c r="Q55" s="46">
        <f t="shared" si="35"/>
        <v>124986.35690340682</v>
      </c>
      <c r="R55" s="20"/>
      <c r="S55" s="20" t="s">
        <v>31</v>
      </c>
      <c r="T55" s="49">
        <f t="shared" si="42"/>
        <v>566666.66666666674</v>
      </c>
      <c r="U55" s="48">
        <f t="shared" si="43"/>
        <v>1250.6500000000001</v>
      </c>
      <c r="V55" s="48">
        <f t="shared" si="43"/>
        <v>1410.97</v>
      </c>
      <c r="W55" s="47">
        <f t="shared" si="36"/>
        <v>0.11362396082127893</v>
      </c>
      <c r="X55" s="46">
        <f t="shared" si="37"/>
        <v>64386.911132058071</v>
      </c>
      <c r="Z55" s="20" t="s">
        <v>31</v>
      </c>
      <c r="AA55" s="49">
        <f>'data S&amp;P500'!AM55</f>
        <v>0</v>
      </c>
      <c r="AB55" s="48">
        <f t="shared" si="44"/>
        <v>1250.6500000000001</v>
      </c>
      <c r="AC55" s="48">
        <f t="shared" si="44"/>
        <v>1410.97</v>
      </c>
      <c r="AD55" s="47">
        <f t="shared" si="38"/>
        <v>0.11362396082127893</v>
      </c>
      <c r="AE55" s="46">
        <f t="shared" si="45"/>
        <v>0</v>
      </c>
    </row>
    <row r="56" spans="1:31" x14ac:dyDescent="0.25">
      <c r="A56" s="1" t="str">
        <f t="shared" si="0"/>
        <v>junio2020</v>
      </c>
      <c r="B56" s="1" t="s">
        <v>71</v>
      </c>
      <c r="C56" s="1">
        <v>2020</v>
      </c>
      <c r="D56" s="64">
        <v>43836</v>
      </c>
      <c r="E56" s="65">
        <v>1111.8</v>
      </c>
      <c r="F56" s="65">
        <v>1095.8399999999999</v>
      </c>
      <c r="G56" s="65">
        <v>1228.73</v>
      </c>
      <c r="H56" s="65">
        <v>1093.17</v>
      </c>
      <c r="J56" s="63">
        <v>1.46E-2</v>
      </c>
      <c r="L56" s="20" t="s">
        <v>32</v>
      </c>
      <c r="M56" s="46">
        <f t="shared" si="39"/>
        <v>1100000</v>
      </c>
      <c r="N56" s="48">
        <f t="shared" si="40"/>
        <v>1204.8499999999999</v>
      </c>
      <c r="O56" s="20">
        <f t="shared" si="46"/>
        <v>1410.97</v>
      </c>
      <c r="P56" s="47">
        <f t="shared" si="41"/>
        <v>0.14608389972855562</v>
      </c>
      <c r="Q56" s="46">
        <f t="shared" si="35"/>
        <v>160692.28970141118</v>
      </c>
      <c r="R56" s="20"/>
      <c r="S56" s="20" t="s">
        <v>32</v>
      </c>
      <c r="T56" s="49">
        <f t="shared" si="42"/>
        <v>300000</v>
      </c>
      <c r="U56" s="48">
        <f t="shared" si="43"/>
        <v>1204.8499999999999</v>
      </c>
      <c r="V56" s="48">
        <f t="shared" si="43"/>
        <v>1410.97</v>
      </c>
      <c r="W56" s="47">
        <f t="shared" si="36"/>
        <v>0.14608389972855562</v>
      </c>
      <c r="X56" s="46">
        <f t="shared" si="37"/>
        <v>43825.169918566688</v>
      </c>
      <c r="Z56" s="20" t="s">
        <v>32</v>
      </c>
      <c r="AA56" s="49">
        <f>'data S&amp;P500'!AM56</f>
        <v>0</v>
      </c>
      <c r="AB56" s="48">
        <f t="shared" si="44"/>
        <v>1204.8499999999999</v>
      </c>
      <c r="AC56" s="48">
        <f t="shared" si="44"/>
        <v>1410.97</v>
      </c>
      <c r="AD56" s="47">
        <f t="shared" si="38"/>
        <v>0.14608389972855562</v>
      </c>
      <c r="AE56" s="46">
        <f t="shared" si="45"/>
        <v>0</v>
      </c>
    </row>
    <row r="57" spans="1:31" x14ac:dyDescent="0.25">
      <c r="A57" s="1" t="str">
        <f t="shared" si="0"/>
        <v>mayo2020</v>
      </c>
      <c r="B57" s="1" t="s">
        <v>73</v>
      </c>
      <c r="C57" s="1">
        <v>2020</v>
      </c>
      <c r="D57" s="64">
        <v>43835</v>
      </c>
      <c r="E57" s="65">
        <v>1095.8399999999999</v>
      </c>
      <c r="F57" s="65">
        <v>1142.04</v>
      </c>
      <c r="G57" s="65">
        <v>1142.04</v>
      </c>
      <c r="H57" s="65">
        <v>1038.3399999999999</v>
      </c>
      <c r="J57" s="63">
        <v>-4.0500000000000001E-2</v>
      </c>
      <c r="L57" s="20" t="s">
        <v>33</v>
      </c>
      <c r="M57" s="46">
        <f t="shared" si="39"/>
        <v>1100000</v>
      </c>
      <c r="N57" s="48">
        <f t="shared" si="40"/>
        <v>1251.56</v>
      </c>
      <c r="O57" s="20">
        <f t="shared" si="46"/>
        <v>1410.97</v>
      </c>
      <c r="P57" s="47">
        <f t="shared" si="41"/>
        <v>0.11297901443687682</v>
      </c>
      <c r="Q57" s="46">
        <f t="shared" si="35"/>
        <v>124276.9158805645</v>
      </c>
      <c r="R57" s="20"/>
      <c r="S57" s="20" t="s">
        <v>33</v>
      </c>
      <c r="T57" s="49">
        <f t="shared" si="42"/>
        <v>1566666.6666666667</v>
      </c>
      <c r="U57" s="48">
        <f t="shared" si="43"/>
        <v>1251.56</v>
      </c>
      <c r="V57" s="48">
        <f t="shared" si="43"/>
        <v>1410.97</v>
      </c>
      <c r="W57" s="47">
        <f t="shared" si="36"/>
        <v>0.11297901443687682</v>
      </c>
      <c r="X57" s="46">
        <f t="shared" si="37"/>
        <v>177000.45595110703</v>
      </c>
      <c r="Z57" s="20" t="s">
        <v>33</v>
      </c>
      <c r="AA57" s="49">
        <f>'data S&amp;P500'!AM57</f>
        <v>0</v>
      </c>
      <c r="AB57" s="48">
        <f t="shared" si="44"/>
        <v>1251.56</v>
      </c>
      <c r="AC57" s="48">
        <f t="shared" si="44"/>
        <v>1410.97</v>
      </c>
      <c r="AD57" s="47">
        <f t="shared" si="38"/>
        <v>0.11297901443687682</v>
      </c>
      <c r="AE57" s="46">
        <f t="shared" si="45"/>
        <v>0</v>
      </c>
    </row>
    <row r="58" spans="1:31" x14ac:dyDescent="0.25">
      <c r="A58" s="1" t="str">
        <f t="shared" si="0"/>
        <v>abril2020</v>
      </c>
      <c r="B58" s="1" t="s">
        <v>75</v>
      </c>
      <c r="C58" s="1">
        <v>2020</v>
      </c>
      <c r="D58" s="64">
        <v>43834</v>
      </c>
      <c r="E58" s="65">
        <v>1142.04</v>
      </c>
      <c r="F58" s="65">
        <v>1123.8499999999999</v>
      </c>
      <c r="G58" s="65">
        <v>1221.3900000000001</v>
      </c>
      <c r="H58" s="65">
        <v>1056.81</v>
      </c>
      <c r="J58" s="63">
        <v>1.6199999999999999E-2</v>
      </c>
      <c r="L58" s="20" t="s">
        <v>34</v>
      </c>
      <c r="M58" s="46">
        <f t="shared" si="39"/>
        <v>1100000</v>
      </c>
      <c r="N58" s="48">
        <f t="shared" si="40"/>
        <v>1236.73</v>
      </c>
      <c r="O58" s="20">
        <f t="shared" si="46"/>
        <v>1410.97</v>
      </c>
      <c r="P58" s="47">
        <f t="shared" si="41"/>
        <v>0.12348951430576129</v>
      </c>
      <c r="Q58" s="46">
        <f t="shared" si="35"/>
        <v>135838.46573633741</v>
      </c>
      <c r="R58" s="20"/>
      <c r="S58" s="20" t="s">
        <v>34</v>
      </c>
      <c r="T58" s="49">
        <f t="shared" si="42"/>
        <v>1566666.6666666667</v>
      </c>
      <c r="U58" s="48">
        <f t="shared" si="43"/>
        <v>1236.73</v>
      </c>
      <c r="V58" s="48">
        <f t="shared" si="43"/>
        <v>1410.97</v>
      </c>
      <c r="W58" s="47">
        <f t="shared" si="36"/>
        <v>0.12348951430576129</v>
      </c>
      <c r="X58" s="46">
        <f t="shared" si="37"/>
        <v>193466.9057456927</v>
      </c>
      <c r="Z58" s="20" t="s">
        <v>34</v>
      </c>
      <c r="AA58" s="49">
        <f>'data S&amp;P500'!AM58</f>
        <v>0</v>
      </c>
      <c r="AB58" s="48">
        <f t="shared" si="44"/>
        <v>1236.73</v>
      </c>
      <c r="AC58" s="48">
        <f t="shared" si="44"/>
        <v>1410.97</v>
      </c>
      <c r="AD58" s="47">
        <f t="shared" si="38"/>
        <v>0.12348951430576129</v>
      </c>
      <c r="AE58" s="46">
        <f t="shared" si="45"/>
        <v>0</v>
      </c>
    </row>
    <row r="59" spans="1:31" x14ac:dyDescent="0.25">
      <c r="A59" s="1" t="str">
        <f t="shared" si="0"/>
        <v>marzo2020</v>
      </c>
      <c r="B59" s="1" t="s">
        <v>77</v>
      </c>
      <c r="C59" s="1">
        <v>2020</v>
      </c>
      <c r="D59" s="64">
        <v>43833</v>
      </c>
      <c r="E59" s="65">
        <v>1123.8499999999999</v>
      </c>
      <c r="F59" s="65">
        <v>1549.61</v>
      </c>
      <c r="G59" s="65">
        <v>1573.56</v>
      </c>
      <c r="H59" s="20">
        <v>880.72</v>
      </c>
      <c r="J59" s="63">
        <v>-0.27479999999999999</v>
      </c>
      <c r="L59" s="20" t="s">
        <v>35</v>
      </c>
      <c r="M59" s="46">
        <f t="shared" si="39"/>
        <v>1100000</v>
      </c>
      <c r="N59" s="48">
        <f t="shared" si="40"/>
        <v>1320.61</v>
      </c>
      <c r="O59" s="20">
        <f t="shared" si="46"/>
        <v>1410.97</v>
      </c>
      <c r="P59" s="47">
        <f t="shared" si="41"/>
        <v>6.404104977426886E-2</v>
      </c>
      <c r="Q59" s="46">
        <f t="shared" si="35"/>
        <v>70445.154751695751</v>
      </c>
      <c r="R59" s="20"/>
      <c r="S59" s="20" t="s">
        <v>35</v>
      </c>
      <c r="T59" s="49">
        <f t="shared" si="42"/>
        <v>966666.66666666663</v>
      </c>
      <c r="U59" s="48">
        <f t="shared" si="43"/>
        <v>1320.61</v>
      </c>
      <c r="V59" s="48">
        <f t="shared" si="43"/>
        <v>1410.97</v>
      </c>
      <c r="W59" s="47">
        <f t="shared" si="36"/>
        <v>6.404104977426886E-2</v>
      </c>
      <c r="X59" s="46">
        <f t="shared" si="37"/>
        <v>61906.348115126559</v>
      </c>
      <c r="Z59" s="20" t="s">
        <v>35</v>
      </c>
      <c r="AA59" s="49">
        <f>'data S&amp;P500'!AM59</f>
        <v>0</v>
      </c>
      <c r="AB59" s="48">
        <f t="shared" si="44"/>
        <v>1320.61</v>
      </c>
      <c r="AC59" s="48">
        <f t="shared" si="44"/>
        <v>1410.97</v>
      </c>
      <c r="AD59" s="47">
        <f t="shared" si="38"/>
        <v>6.404104977426886E-2</v>
      </c>
      <c r="AE59" s="46">
        <f t="shared" si="45"/>
        <v>0</v>
      </c>
    </row>
    <row r="60" spans="1:31" x14ac:dyDescent="0.25">
      <c r="A60" s="1" t="str">
        <f t="shared" si="0"/>
        <v>febrero2020</v>
      </c>
      <c r="B60" s="1" t="s">
        <v>79</v>
      </c>
      <c r="C60" s="1">
        <v>2020</v>
      </c>
      <c r="D60" s="64">
        <v>43832</v>
      </c>
      <c r="E60" s="65">
        <v>1549.61</v>
      </c>
      <c r="F60" s="65">
        <v>1623.83</v>
      </c>
      <c r="G60" s="65">
        <v>1681.72</v>
      </c>
      <c r="H60" s="65">
        <v>1517.13</v>
      </c>
      <c r="J60" s="63">
        <v>-4.5699999999999998E-2</v>
      </c>
      <c r="L60" s="20" t="s">
        <v>36</v>
      </c>
      <c r="M60" s="46">
        <f t="shared" si="39"/>
        <v>1100000</v>
      </c>
      <c r="N60" s="48">
        <f t="shared" si="40"/>
        <v>1362.08</v>
      </c>
      <c r="O60" s="20">
        <f t="shared" si="46"/>
        <v>1410.97</v>
      </c>
      <c r="P60" s="47">
        <f t="shared" si="41"/>
        <v>3.4649921685081964E-2</v>
      </c>
      <c r="Q60" s="46">
        <f t="shared" si="35"/>
        <v>38114.913853590158</v>
      </c>
      <c r="R60" s="20"/>
      <c r="S60" s="20" t="s">
        <v>36</v>
      </c>
      <c r="T60" s="49">
        <f t="shared" si="42"/>
        <v>1566666.6666666667</v>
      </c>
      <c r="U60" s="48">
        <f t="shared" si="43"/>
        <v>1362.08</v>
      </c>
      <c r="V60" s="48">
        <f t="shared" si="43"/>
        <v>1410.97</v>
      </c>
      <c r="W60" s="47">
        <f t="shared" si="36"/>
        <v>3.4649921685081964E-2</v>
      </c>
      <c r="X60" s="46">
        <f t="shared" si="37"/>
        <v>54284.877306628412</v>
      </c>
      <c r="Z60" s="20" t="s">
        <v>36</v>
      </c>
      <c r="AA60" s="49">
        <f>'data S&amp;P500'!AM60</f>
        <v>0</v>
      </c>
      <c r="AB60" s="48">
        <f t="shared" si="44"/>
        <v>1362.08</v>
      </c>
      <c r="AC60" s="48">
        <f t="shared" si="44"/>
        <v>1410.97</v>
      </c>
      <c r="AD60" s="47">
        <f t="shared" si="38"/>
        <v>3.4649921685081964E-2</v>
      </c>
      <c r="AE60" s="46">
        <f t="shared" si="45"/>
        <v>0</v>
      </c>
    </row>
    <row r="61" spans="1:31" x14ac:dyDescent="0.25">
      <c r="A61" s="1" t="str">
        <f t="shared" si="0"/>
        <v>enero2020</v>
      </c>
      <c r="B61" s="1" t="s">
        <v>81</v>
      </c>
      <c r="C61" s="1">
        <v>2020</v>
      </c>
      <c r="D61" s="64">
        <v>43831</v>
      </c>
      <c r="E61" s="65">
        <v>1623.83</v>
      </c>
      <c r="F61" s="65">
        <v>1662.42</v>
      </c>
      <c r="G61" s="65">
        <v>1677.6</v>
      </c>
      <c r="H61" s="65">
        <v>1618.54</v>
      </c>
      <c r="J61" s="63">
        <v>-2.3199999999999998E-2</v>
      </c>
      <c r="L61" s="20" t="s">
        <v>37</v>
      </c>
      <c r="M61" s="46">
        <f t="shared" si="39"/>
        <v>1100000</v>
      </c>
      <c r="N61" s="48">
        <f t="shared" si="40"/>
        <v>1395.62</v>
      </c>
      <c r="O61" s="20">
        <f t="shared" si="46"/>
        <v>1410.97</v>
      </c>
      <c r="P61" s="47">
        <f t="shared" si="41"/>
        <v>1.0879040659971605E-2</v>
      </c>
      <c r="Q61" s="46">
        <f t="shared" si="35"/>
        <v>11966.944725968766</v>
      </c>
      <c r="R61" s="20"/>
      <c r="S61" s="20" t="s">
        <v>37</v>
      </c>
      <c r="T61" s="49">
        <f t="shared" si="42"/>
        <v>1566666.6666666667</v>
      </c>
      <c r="U61" s="48">
        <f t="shared" si="43"/>
        <v>1395.62</v>
      </c>
      <c r="V61" s="48">
        <f t="shared" si="43"/>
        <v>1410.97</v>
      </c>
      <c r="W61" s="47">
        <f t="shared" si="36"/>
        <v>1.0879040659971605E-2</v>
      </c>
      <c r="X61" s="46">
        <f t="shared" si="37"/>
        <v>17043.830367288847</v>
      </c>
      <c r="Z61" s="20" t="s">
        <v>37</v>
      </c>
      <c r="AA61" s="49">
        <f>'data S&amp;P500'!AM61</f>
        <v>0</v>
      </c>
      <c r="AB61" s="48">
        <f t="shared" si="44"/>
        <v>1395.62</v>
      </c>
      <c r="AC61" s="48">
        <f t="shared" si="44"/>
        <v>1410.97</v>
      </c>
      <c r="AD61" s="47">
        <f t="shared" si="38"/>
        <v>1.0879040659971605E-2</v>
      </c>
      <c r="AE61" s="46">
        <f t="shared" si="45"/>
        <v>0</v>
      </c>
    </row>
    <row r="62" spans="1:31" x14ac:dyDescent="0.25">
      <c r="A62" s="1" t="str">
        <f t="shared" si="0"/>
        <v>diciembre2019</v>
      </c>
      <c r="B62" s="1" t="s">
        <v>59</v>
      </c>
      <c r="C62" s="1">
        <v>2019</v>
      </c>
      <c r="D62" s="64">
        <v>43477</v>
      </c>
      <c r="E62" s="65">
        <v>1662.42</v>
      </c>
      <c r="F62" s="65">
        <v>1611.92</v>
      </c>
      <c r="G62" s="65">
        <v>1673.36</v>
      </c>
      <c r="H62" s="65">
        <v>1583.11</v>
      </c>
      <c r="J62" s="63">
        <v>3.1300000000000001E-2</v>
      </c>
      <c r="L62" s="20" t="s">
        <v>38</v>
      </c>
      <c r="M62" s="46">
        <f t="shared" si="39"/>
        <v>1100000</v>
      </c>
      <c r="N62" s="48">
        <f t="shared" si="40"/>
        <v>1396.49</v>
      </c>
      <c r="O62" s="20">
        <f t="shared" si="46"/>
        <v>1410.97</v>
      </c>
      <c r="P62" s="47">
        <f t="shared" si="41"/>
        <v>1.0262443567191377E-2</v>
      </c>
      <c r="Q62" s="46">
        <f t="shared" si="35"/>
        <v>11288.687923910515</v>
      </c>
      <c r="R62" s="20"/>
      <c r="S62" s="20" t="s">
        <v>38</v>
      </c>
      <c r="T62" s="49">
        <f t="shared" si="42"/>
        <v>833333.33333333349</v>
      </c>
      <c r="U62" s="48">
        <f t="shared" si="43"/>
        <v>1396.49</v>
      </c>
      <c r="V62" s="48">
        <f t="shared" si="43"/>
        <v>1410.97</v>
      </c>
      <c r="W62" s="47">
        <f t="shared" si="36"/>
        <v>1.0262443567191377E-2</v>
      </c>
      <c r="X62" s="46">
        <f t="shared" si="37"/>
        <v>8552.036305992815</v>
      </c>
      <c r="Z62" s="20" t="s">
        <v>38</v>
      </c>
      <c r="AA62" s="49">
        <f>'data S&amp;P500'!AM62</f>
        <v>0</v>
      </c>
      <c r="AB62" s="48">
        <f t="shared" si="44"/>
        <v>1396.49</v>
      </c>
      <c r="AC62" s="48">
        <f t="shared" si="44"/>
        <v>1410.97</v>
      </c>
      <c r="AD62" s="47">
        <f t="shared" si="38"/>
        <v>1.0262443567191377E-2</v>
      </c>
      <c r="AE62" s="46">
        <f t="shared" si="45"/>
        <v>0</v>
      </c>
    </row>
    <row r="63" spans="1:31" x14ac:dyDescent="0.25">
      <c r="A63" s="1" t="str">
        <f t="shared" si="0"/>
        <v>noviembre2019</v>
      </c>
      <c r="B63" s="1" t="s">
        <v>61</v>
      </c>
      <c r="C63" s="1">
        <v>2019</v>
      </c>
      <c r="D63" s="64">
        <v>43476</v>
      </c>
      <c r="E63" s="65">
        <v>1611.92</v>
      </c>
      <c r="F63" s="65">
        <v>1633.15</v>
      </c>
      <c r="G63" s="65">
        <v>1666.8</v>
      </c>
      <c r="H63" s="65">
        <v>1572.86</v>
      </c>
      <c r="J63" s="63">
        <v>-1.2999999999999999E-2</v>
      </c>
      <c r="L63" s="20"/>
      <c r="M63" s="46">
        <f>SUM(M51:M62)</f>
        <v>13200000</v>
      </c>
      <c r="N63" s="20"/>
      <c r="O63" s="20"/>
      <c r="P63" s="47">
        <f>Q63/M63</f>
        <v>6.2058371191449885E-2</v>
      </c>
      <c r="Q63" s="46">
        <f>SUM(Q51:Q62)</f>
        <v>819170.49972713843</v>
      </c>
      <c r="R63" s="20"/>
      <c r="S63" s="20"/>
      <c r="T63" s="46">
        <f>SUM(T51:T62)</f>
        <v>13200000</v>
      </c>
      <c r="U63" s="20"/>
      <c r="V63" s="20"/>
      <c r="W63" s="47">
        <f>X63/T63</f>
        <v>5.9535606388126348E-2</v>
      </c>
      <c r="X63" s="46">
        <f>SUM(X51:X62)</f>
        <v>785870.00432326784</v>
      </c>
      <c r="Z63" s="20"/>
      <c r="AA63" s="46">
        <f>SUM(AA51:AA62)</f>
        <v>0</v>
      </c>
      <c r="AB63" s="20"/>
      <c r="AC63" s="20"/>
      <c r="AD63" s="47" t="e">
        <f>AE63/AA63</f>
        <v>#DIV/0!</v>
      </c>
      <c r="AE63" s="46">
        <f>SUM(AE51:AE62)</f>
        <v>0</v>
      </c>
    </row>
    <row r="64" spans="1:31" x14ac:dyDescent="0.25">
      <c r="A64" s="1" t="str">
        <f t="shared" si="0"/>
        <v>octubre2019</v>
      </c>
      <c r="B64" s="1" t="s">
        <v>63</v>
      </c>
      <c r="C64" s="1">
        <v>2019</v>
      </c>
      <c r="D64" s="64">
        <v>43475</v>
      </c>
      <c r="E64" s="65">
        <v>1633.15</v>
      </c>
      <c r="F64" s="65">
        <v>1577.96</v>
      </c>
      <c r="G64" s="65">
        <v>1637.09</v>
      </c>
      <c r="H64" s="65">
        <v>1568.52</v>
      </c>
      <c r="J64" s="63">
        <v>3.5000000000000003E-2</v>
      </c>
    </row>
    <row r="65" spans="1:31" x14ac:dyDescent="0.25">
      <c r="A65" s="1" t="str">
        <f t="shared" si="0"/>
        <v>septiembre2019</v>
      </c>
      <c r="B65" s="1" t="s">
        <v>65</v>
      </c>
      <c r="C65" s="1">
        <v>2019</v>
      </c>
      <c r="D65" s="64">
        <v>43474</v>
      </c>
      <c r="E65" s="65">
        <v>1577.96</v>
      </c>
      <c r="F65" s="65">
        <v>1559.52</v>
      </c>
      <c r="G65" s="65">
        <v>1607.53</v>
      </c>
      <c r="H65" s="65">
        <v>1544.82</v>
      </c>
      <c r="J65" s="63">
        <v>1.18E-2</v>
      </c>
      <c r="L65" s="20" t="s">
        <v>43</v>
      </c>
      <c r="M65" s="20">
        <v>2020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</row>
    <row r="66" spans="1:31" x14ac:dyDescent="0.25">
      <c r="A66" s="1" t="str">
        <f t="shared" si="0"/>
        <v>agosto2019</v>
      </c>
      <c r="B66" s="1" t="s">
        <v>67</v>
      </c>
      <c r="C66" s="1">
        <v>2019</v>
      </c>
      <c r="D66" s="64">
        <v>43473</v>
      </c>
      <c r="E66" s="65">
        <v>1559.52</v>
      </c>
      <c r="F66" s="65">
        <v>1562.13</v>
      </c>
      <c r="G66" s="65">
        <v>1566.06</v>
      </c>
      <c r="H66" s="65">
        <v>1502.28</v>
      </c>
      <c r="J66" s="63">
        <v>-1.6999999999999999E-3</v>
      </c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</row>
    <row r="67" spans="1:31" x14ac:dyDescent="0.25">
      <c r="A67" s="1" t="str">
        <f t="shared" ref="A67:A73" si="47">_xlfn.CONCAT(B67,C67)</f>
        <v>julio2019</v>
      </c>
      <c r="B67" s="1" t="s">
        <v>69</v>
      </c>
      <c r="C67" s="1">
        <v>2019</v>
      </c>
      <c r="D67" s="64">
        <v>43472</v>
      </c>
      <c r="E67" s="65">
        <v>1562.13</v>
      </c>
      <c r="F67" s="65">
        <v>1548.98</v>
      </c>
      <c r="G67" s="65">
        <v>1622.37</v>
      </c>
      <c r="H67" s="65">
        <v>1538.76</v>
      </c>
      <c r="J67" s="63">
        <v>8.5000000000000006E-3</v>
      </c>
      <c r="L67" s="20" t="s">
        <v>27</v>
      </c>
      <c r="M67" s="46">
        <f>M51</f>
        <v>1100000</v>
      </c>
      <c r="N67" s="48">
        <f>VLOOKUP(_xlfn.CONCAT(L67,$M$65),$A$2:$J$73,6,0)</f>
        <v>1662.42</v>
      </c>
      <c r="O67" s="20">
        <f>VLOOKUP(_xlfn.CONCAT(L78,M65),$A$1:$E$73,5,0)</f>
        <v>1437.89</v>
      </c>
      <c r="P67" s="47">
        <f t="shared" ref="P67:P78" si="48">(O67-N67)/O67</f>
        <v>-0.15615241777882868</v>
      </c>
      <c r="Q67" s="46">
        <f t="shared" ref="Q67:Q78" si="49">M67*P67</f>
        <v>-171767.65955671156</v>
      </c>
      <c r="R67" s="20"/>
      <c r="S67" s="20" t="s">
        <v>27</v>
      </c>
      <c r="T67" s="49">
        <f>T51</f>
        <v>433333.33333333326</v>
      </c>
      <c r="U67" s="48">
        <f>N67</f>
        <v>1662.42</v>
      </c>
      <c r="V67" s="48">
        <f>O67</f>
        <v>1437.89</v>
      </c>
      <c r="W67" s="47">
        <f t="shared" ref="W67:W78" si="50">(V67-U67)/V67</f>
        <v>-0.15615241777882868</v>
      </c>
      <c r="X67" s="46">
        <f t="shared" ref="X67:X78" si="51">T67*W67</f>
        <v>-67666.047704159078</v>
      </c>
      <c r="Z67" s="20" t="s">
        <v>27</v>
      </c>
      <c r="AA67" s="49">
        <f>'data S&amp;P500'!AM67</f>
        <v>0</v>
      </c>
      <c r="AB67" s="48">
        <f>U67</f>
        <v>1662.42</v>
      </c>
      <c r="AC67" s="48">
        <f>V67</f>
        <v>1437.89</v>
      </c>
      <c r="AD67" s="47">
        <f t="shared" ref="AD67:AD78" si="52">(AC67-AB67)/AC67</f>
        <v>-0.15615241777882868</v>
      </c>
      <c r="AE67" s="46">
        <f>AA67*AD67</f>
        <v>0</v>
      </c>
    </row>
    <row r="68" spans="1:31" x14ac:dyDescent="0.25">
      <c r="A68" s="1" t="str">
        <f t="shared" si="47"/>
        <v>junio2019</v>
      </c>
      <c r="B68" s="1" t="s">
        <v>71</v>
      </c>
      <c r="C68" s="1">
        <v>2019</v>
      </c>
      <c r="D68" s="64">
        <v>43471</v>
      </c>
      <c r="E68" s="65">
        <v>1548.98</v>
      </c>
      <c r="F68" s="65">
        <v>1487</v>
      </c>
      <c r="G68" s="65">
        <v>1567.36</v>
      </c>
      <c r="H68" s="65">
        <v>1482.28</v>
      </c>
      <c r="J68" s="63">
        <v>4.1700000000000001E-2</v>
      </c>
      <c r="L68" s="20" t="s">
        <v>28</v>
      </c>
      <c r="M68" s="46">
        <f t="shared" ref="M68:M78" si="53">M52</f>
        <v>1100000</v>
      </c>
      <c r="N68" s="48">
        <f t="shared" ref="N68:N78" si="54">VLOOKUP(_xlfn.CONCAT(L68,$M$65),$A$2:$J$73,6,0)</f>
        <v>1623.83</v>
      </c>
      <c r="O68" s="20">
        <f>O67</f>
        <v>1437.89</v>
      </c>
      <c r="P68" s="47">
        <f t="shared" si="48"/>
        <v>-0.12931448163628637</v>
      </c>
      <c r="Q68" s="46">
        <f t="shared" si="49"/>
        <v>-142245.929799915</v>
      </c>
      <c r="R68" s="20"/>
      <c r="S68" s="20" t="s">
        <v>28</v>
      </c>
      <c r="T68" s="49">
        <f t="shared" ref="T68:T78" si="55">T52</f>
        <v>1566666.6666666667</v>
      </c>
      <c r="U68" s="48">
        <f t="shared" ref="U68:V78" si="56">N68</f>
        <v>1623.83</v>
      </c>
      <c r="V68" s="48">
        <f t="shared" si="56"/>
        <v>1437.89</v>
      </c>
      <c r="W68" s="47">
        <f t="shared" si="50"/>
        <v>-0.12931448163628637</v>
      </c>
      <c r="X68" s="46">
        <f t="shared" si="51"/>
        <v>-202592.68789684866</v>
      </c>
      <c r="Z68" s="20" t="s">
        <v>28</v>
      </c>
      <c r="AA68" s="49">
        <f>'data S&amp;P500'!AM68</f>
        <v>0</v>
      </c>
      <c r="AB68" s="48">
        <f t="shared" ref="AB68:AC78" si="57">U68</f>
        <v>1623.83</v>
      </c>
      <c r="AC68" s="48">
        <f t="shared" si="57"/>
        <v>1437.89</v>
      </c>
      <c r="AD68" s="47">
        <f t="shared" si="52"/>
        <v>-0.12931448163628637</v>
      </c>
      <c r="AE68" s="46">
        <f t="shared" ref="AE68:AE78" si="58">AA68*AD68</f>
        <v>0</v>
      </c>
    </row>
    <row r="69" spans="1:31" x14ac:dyDescent="0.25">
      <c r="A69" s="1" t="str">
        <f t="shared" si="47"/>
        <v>mayo2019</v>
      </c>
      <c r="B69" s="1" t="s">
        <v>73</v>
      </c>
      <c r="C69" s="1">
        <v>2019</v>
      </c>
      <c r="D69" s="64">
        <v>43470</v>
      </c>
      <c r="E69" s="65">
        <v>1487</v>
      </c>
      <c r="F69" s="65">
        <v>1573.64</v>
      </c>
      <c r="G69" s="65">
        <v>1573.64</v>
      </c>
      <c r="H69" s="65">
        <v>1457.26</v>
      </c>
      <c r="J69" s="63">
        <v>-5.5100000000000003E-2</v>
      </c>
      <c r="L69" s="20" t="s">
        <v>29</v>
      </c>
      <c r="M69" s="46">
        <f t="shared" si="53"/>
        <v>1100000</v>
      </c>
      <c r="N69" s="48">
        <f t="shared" si="54"/>
        <v>1549.61</v>
      </c>
      <c r="O69" s="20">
        <f t="shared" ref="O69:O78" si="59">O68</f>
        <v>1437.89</v>
      </c>
      <c r="P69" s="47">
        <f t="shared" si="48"/>
        <v>-7.7697181286468228E-2</v>
      </c>
      <c r="Q69" s="46">
        <f t="shared" si="49"/>
        <v>-85466.899415115055</v>
      </c>
      <c r="R69" s="20"/>
      <c r="S69" s="20" t="s">
        <v>29</v>
      </c>
      <c r="T69" s="49">
        <f t="shared" si="55"/>
        <v>1566666.6666666667</v>
      </c>
      <c r="U69" s="48">
        <f t="shared" si="56"/>
        <v>1549.61</v>
      </c>
      <c r="V69" s="48">
        <f t="shared" si="56"/>
        <v>1437.89</v>
      </c>
      <c r="W69" s="47">
        <f t="shared" si="50"/>
        <v>-7.7697181286468228E-2</v>
      </c>
      <c r="X69" s="46">
        <f t="shared" si="51"/>
        <v>-121725.5840154669</v>
      </c>
      <c r="Z69" s="20" t="s">
        <v>29</v>
      </c>
      <c r="AA69" s="49">
        <f>'data S&amp;P500'!AM69</f>
        <v>0</v>
      </c>
      <c r="AB69" s="48">
        <f t="shared" si="57"/>
        <v>1549.61</v>
      </c>
      <c r="AC69" s="48">
        <f t="shared" si="57"/>
        <v>1437.89</v>
      </c>
      <c r="AD69" s="47">
        <f t="shared" si="52"/>
        <v>-7.7697181286468228E-2</v>
      </c>
      <c r="AE69" s="46">
        <f t="shared" si="58"/>
        <v>0</v>
      </c>
    </row>
    <row r="70" spans="1:31" x14ac:dyDescent="0.25">
      <c r="A70" s="1" t="str">
        <f t="shared" si="47"/>
        <v>abril2019</v>
      </c>
      <c r="B70" s="1" t="s">
        <v>75</v>
      </c>
      <c r="C70" s="1">
        <v>2019</v>
      </c>
      <c r="D70" s="64">
        <v>43469</v>
      </c>
      <c r="E70" s="65">
        <v>1573.64</v>
      </c>
      <c r="F70" s="65">
        <v>1587.74</v>
      </c>
      <c r="G70" s="65">
        <v>1626.58</v>
      </c>
      <c r="H70" s="65">
        <v>1562.88</v>
      </c>
      <c r="J70" s="63">
        <v>-8.8999999999999999E-3</v>
      </c>
      <c r="L70" s="20" t="s">
        <v>30</v>
      </c>
      <c r="M70" s="46">
        <f t="shared" si="53"/>
        <v>1100000</v>
      </c>
      <c r="N70" s="48">
        <f t="shared" si="54"/>
        <v>1123.8499999999999</v>
      </c>
      <c r="O70" s="20">
        <f t="shared" si="59"/>
        <v>1437.89</v>
      </c>
      <c r="P70" s="47">
        <f t="shared" si="48"/>
        <v>0.21840335491588381</v>
      </c>
      <c r="Q70" s="46">
        <f t="shared" si="49"/>
        <v>240243.6904074722</v>
      </c>
      <c r="R70" s="20"/>
      <c r="S70" s="20" t="s">
        <v>30</v>
      </c>
      <c r="T70" s="49">
        <f t="shared" si="55"/>
        <v>700000</v>
      </c>
      <c r="U70" s="48">
        <f t="shared" si="56"/>
        <v>1123.8499999999999</v>
      </c>
      <c r="V70" s="48">
        <f t="shared" si="56"/>
        <v>1437.89</v>
      </c>
      <c r="W70" s="47">
        <f t="shared" si="50"/>
        <v>0.21840335491588381</v>
      </c>
      <c r="X70" s="46">
        <f t="shared" si="51"/>
        <v>152882.34844111867</v>
      </c>
      <c r="Z70" s="20" t="s">
        <v>30</v>
      </c>
      <c r="AA70" s="49">
        <f>'data S&amp;P500'!AM70</f>
        <v>0</v>
      </c>
      <c r="AB70" s="48">
        <f t="shared" si="57"/>
        <v>1123.8499999999999</v>
      </c>
      <c r="AC70" s="48">
        <f t="shared" si="57"/>
        <v>1437.89</v>
      </c>
      <c r="AD70" s="47">
        <f t="shared" si="52"/>
        <v>0.21840335491588381</v>
      </c>
      <c r="AE70" s="46">
        <f t="shared" si="58"/>
        <v>0</v>
      </c>
    </row>
    <row r="71" spans="1:31" x14ac:dyDescent="0.25">
      <c r="A71" s="1" t="str">
        <f t="shared" si="47"/>
        <v>marzo2019</v>
      </c>
      <c r="B71" s="1" t="s">
        <v>77</v>
      </c>
      <c r="C71" s="1">
        <v>2019</v>
      </c>
      <c r="D71" s="64">
        <v>43468</v>
      </c>
      <c r="E71" s="65">
        <v>1587.74</v>
      </c>
      <c r="F71" s="65">
        <v>1508.27</v>
      </c>
      <c r="G71" s="65">
        <v>1634.17</v>
      </c>
      <c r="H71" s="65">
        <v>1499.26</v>
      </c>
      <c r="J71" s="63">
        <v>5.2699999999999997E-2</v>
      </c>
      <c r="L71" s="20" t="s">
        <v>31</v>
      </c>
      <c r="M71" s="46">
        <f t="shared" si="53"/>
        <v>1100000</v>
      </c>
      <c r="N71" s="48">
        <f t="shared" si="54"/>
        <v>1142.04</v>
      </c>
      <c r="O71" s="20">
        <f t="shared" si="59"/>
        <v>1437.89</v>
      </c>
      <c r="P71" s="47">
        <f t="shared" si="48"/>
        <v>0.20575287400287931</v>
      </c>
      <c r="Q71" s="46">
        <f t="shared" si="49"/>
        <v>226328.16140316724</v>
      </c>
      <c r="R71" s="20"/>
      <c r="S71" s="20" t="s">
        <v>31</v>
      </c>
      <c r="T71" s="49">
        <f t="shared" si="55"/>
        <v>566666.66666666674</v>
      </c>
      <c r="U71" s="48">
        <f t="shared" si="56"/>
        <v>1142.04</v>
      </c>
      <c r="V71" s="48">
        <f t="shared" si="56"/>
        <v>1437.89</v>
      </c>
      <c r="W71" s="47">
        <f t="shared" si="50"/>
        <v>0.20575287400287931</v>
      </c>
      <c r="X71" s="46">
        <f t="shared" si="51"/>
        <v>116593.29526829829</v>
      </c>
      <c r="Z71" s="20" t="s">
        <v>31</v>
      </c>
      <c r="AA71" s="49">
        <f>'data S&amp;P500'!AM71</f>
        <v>0</v>
      </c>
      <c r="AB71" s="48">
        <f t="shared" si="57"/>
        <v>1142.04</v>
      </c>
      <c r="AC71" s="48">
        <f t="shared" si="57"/>
        <v>1437.89</v>
      </c>
      <c r="AD71" s="47">
        <f t="shared" si="52"/>
        <v>0.20575287400287931</v>
      </c>
      <c r="AE71" s="46">
        <f t="shared" si="58"/>
        <v>0</v>
      </c>
    </row>
    <row r="72" spans="1:31" x14ac:dyDescent="0.25">
      <c r="A72" s="1" t="str">
        <f t="shared" si="47"/>
        <v>febrero2019</v>
      </c>
      <c r="B72" s="1" t="s">
        <v>79</v>
      </c>
      <c r="C72" s="1">
        <v>2019</v>
      </c>
      <c r="D72" s="64">
        <v>43467</v>
      </c>
      <c r="E72" s="65">
        <v>1508.27</v>
      </c>
      <c r="F72" s="65">
        <v>1447.01</v>
      </c>
      <c r="G72" s="65">
        <v>1527.94</v>
      </c>
      <c r="H72" s="65">
        <v>1446.6</v>
      </c>
      <c r="J72" s="63">
        <v>4.2299999999999997E-2</v>
      </c>
      <c r="L72" s="20" t="s">
        <v>32</v>
      </c>
      <c r="M72" s="46">
        <f t="shared" si="53"/>
        <v>1100000</v>
      </c>
      <c r="N72" s="48">
        <f t="shared" si="54"/>
        <v>1095.8399999999999</v>
      </c>
      <c r="O72" s="20">
        <f t="shared" si="59"/>
        <v>1437.89</v>
      </c>
      <c r="P72" s="47">
        <f t="shared" si="48"/>
        <v>0.23788328731683242</v>
      </c>
      <c r="Q72" s="46">
        <f t="shared" si="49"/>
        <v>261671.61604851566</v>
      </c>
      <c r="R72" s="20"/>
      <c r="S72" s="20" t="s">
        <v>32</v>
      </c>
      <c r="T72" s="49">
        <f t="shared" si="55"/>
        <v>300000</v>
      </c>
      <c r="U72" s="48">
        <f t="shared" si="56"/>
        <v>1095.8399999999999</v>
      </c>
      <c r="V72" s="48">
        <f t="shared" si="56"/>
        <v>1437.89</v>
      </c>
      <c r="W72" s="47">
        <f t="shared" si="50"/>
        <v>0.23788328731683242</v>
      </c>
      <c r="X72" s="46">
        <f t="shared" si="51"/>
        <v>71364.986195049729</v>
      </c>
      <c r="Z72" s="20" t="s">
        <v>32</v>
      </c>
      <c r="AA72" s="49">
        <f>'data S&amp;P500'!AM72</f>
        <v>0</v>
      </c>
      <c r="AB72" s="48">
        <f t="shared" si="57"/>
        <v>1095.8399999999999</v>
      </c>
      <c r="AC72" s="48">
        <f t="shared" si="57"/>
        <v>1437.89</v>
      </c>
      <c r="AD72" s="47">
        <f t="shared" si="52"/>
        <v>0.23788328731683242</v>
      </c>
      <c r="AE72" s="46">
        <f t="shared" si="58"/>
        <v>0</v>
      </c>
    </row>
    <row r="73" spans="1:31" x14ac:dyDescent="0.25">
      <c r="A73" s="1" t="str">
        <f t="shared" si="47"/>
        <v>enero2019</v>
      </c>
      <c r="B73" s="1" t="s">
        <v>81</v>
      </c>
      <c r="C73" s="1">
        <v>2019</v>
      </c>
      <c r="D73" s="64">
        <v>43466</v>
      </c>
      <c r="E73" s="65">
        <v>1447.01</v>
      </c>
      <c r="F73" s="65">
        <v>1325.93</v>
      </c>
      <c r="G73" s="65">
        <v>1456.5</v>
      </c>
      <c r="H73" s="65">
        <v>1318.28</v>
      </c>
      <c r="J73" s="63">
        <v>9.1300000000000006E-2</v>
      </c>
      <c r="L73" s="20" t="s">
        <v>33</v>
      </c>
      <c r="M73" s="46">
        <f t="shared" si="53"/>
        <v>1100000</v>
      </c>
      <c r="N73" s="48">
        <f t="shared" si="54"/>
        <v>1111.8</v>
      </c>
      <c r="O73" s="20">
        <f t="shared" si="59"/>
        <v>1437.89</v>
      </c>
      <c r="P73" s="47">
        <f t="shared" si="48"/>
        <v>0.22678368999019405</v>
      </c>
      <c r="Q73" s="46">
        <f t="shared" si="49"/>
        <v>249462.05898921346</v>
      </c>
      <c r="R73" s="20"/>
      <c r="S73" s="20" t="s">
        <v>33</v>
      </c>
      <c r="T73" s="49">
        <f t="shared" si="55"/>
        <v>1566666.6666666667</v>
      </c>
      <c r="U73" s="48">
        <f t="shared" si="56"/>
        <v>1111.8</v>
      </c>
      <c r="V73" s="48">
        <f t="shared" si="56"/>
        <v>1437.89</v>
      </c>
      <c r="W73" s="47">
        <f t="shared" si="50"/>
        <v>0.22678368999019405</v>
      </c>
      <c r="X73" s="46">
        <f t="shared" si="51"/>
        <v>355294.44765130401</v>
      </c>
      <c r="Z73" s="20" t="s">
        <v>33</v>
      </c>
      <c r="AA73" s="49">
        <f>'data S&amp;P500'!AM73</f>
        <v>0</v>
      </c>
      <c r="AB73" s="48">
        <f t="shared" si="57"/>
        <v>1111.8</v>
      </c>
      <c r="AC73" s="48">
        <f t="shared" si="57"/>
        <v>1437.89</v>
      </c>
      <c r="AD73" s="47">
        <f t="shared" si="52"/>
        <v>0.22678368999019405</v>
      </c>
      <c r="AE73" s="46">
        <f t="shared" si="58"/>
        <v>0</v>
      </c>
    </row>
    <row r="74" spans="1:31" x14ac:dyDescent="0.25">
      <c r="L74" s="20" t="s">
        <v>34</v>
      </c>
      <c r="M74" s="46">
        <f t="shared" si="53"/>
        <v>1100000</v>
      </c>
      <c r="N74" s="48">
        <f t="shared" si="54"/>
        <v>1134.3399999999999</v>
      </c>
      <c r="O74" s="20">
        <f t="shared" si="59"/>
        <v>1437.89</v>
      </c>
      <c r="P74" s="47">
        <f t="shared" si="48"/>
        <v>0.21110794288853818</v>
      </c>
      <c r="Q74" s="46">
        <f t="shared" si="49"/>
        <v>232218.737177392</v>
      </c>
      <c r="R74" s="20"/>
      <c r="S74" s="20" t="s">
        <v>34</v>
      </c>
      <c r="T74" s="49">
        <f t="shared" si="55"/>
        <v>1566666.6666666667</v>
      </c>
      <c r="U74" s="48">
        <f t="shared" si="56"/>
        <v>1134.3399999999999</v>
      </c>
      <c r="V74" s="48">
        <f t="shared" si="56"/>
        <v>1437.89</v>
      </c>
      <c r="W74" s="47">
        <f t="shared" si="50"/>
        <v>0.21110794288853818</v>
      </c>
      <c r="X74" s="46">
        <f t="shared" si="51"/>
        <v>330735.77719204314</v>
      </c>
      <c r="Z74" s="20" t="s">
        <v>34</v>
      </c>
      <c r="AA74" s="49">
        <f>'data S&amp;P500'!AM74</f>
        <v>0</v>
      </c>
      <c r="AB74" s="48">
        <f t="shared" si="57"/>
        <v>1134.3399999999999</v>
      </c>
      <c r="AC74" s="48">
        <f t="shared" si="57"/>
        <v>1437.89</v>
      </c>
      <c r="AD74" s="47">
        <f t="shared" si="52"/>
        <v>0.21110794288853818</v>
      </c>
      <c r="AE74" s="46">
        <f t="shared" si="58"/>
        <v>0</v>
      </c>
    </row>
    <row r="75" spans="1:31" x14ac:dyDescent="0.25">
      <c r="L75" s="20" t="s">
        <v>35</v>
      </c>
      <c r="M75" s="46">
        <f t="shared" si="53"/>
        <v>1100000</v>
      </c>
      <c r="N75" s="48">
        <f t="shared" si="54"/>
        <v>1216.03</v>
      </c>
      <c r="O75" s="20">
        <f t="shared" si="59"/>
        <v>1437.89</v>
      </c>
      <c r="P75" s="47">
        <f t="shared" si="48"/>
        <v>0.15429553025613929</v>
      </c>
      <c r="Q75" s="46">
        <f t="shared" si="49"/>
        <v>169725.08328175321</v>
      </c>
      <c r="R75" s="20"/>
      <c r="S75" s="20" t="s">
        <v>35</v>
      </c>
      <c r="T75" s="49">
        <f t="shared" si="55"/>
        <v>966666.66666666663</v>
      </c>
      <c r="U75" s="48">
        <f t="shared" si="56"/>
        <v>1216.03</v>
      </c>
      <c r="V75" s="48">
        <f t="shared" si="56"/>
        <v>1437.89</v>
      </c>
      <c r="W75" s="47">
        <f t="shared" si="50"/>
        <v>0.15429553025613929</v>
      </c>
      <c r="X75" s="46">
        <f t="shared" si="51"/>
        <v>149152.34591426796</v>
      </c>
      <c r="Z75" s="20" t="s">
        <v>35</v>
      </c>
      <c r="AA75" s="49">
        <f>'data S&amp;P500'!AM75</f>
        <v>0</v>
      </c>
      <c r="AB75" s="48">
        <f t="shared" si="57"/>
        <v>1216.03</v>
      </c>
      <c r="AC75" s="48">
        <f t="shared" si="57"/>
        <v>1437.89</v>
      </c>
      <c r="AD75" s="47">
        <f t="shared" si="52"/>
        <v>0.15429553025613929</v>
      </c>
      <c r="AE75" s="46">
        <f t="shared" si="58"/>
        <v>0</v>
      </c>
    </row>
    <row r="76" spans="1:31" x14ac:dyDescent="0.25">
      <c r="L76" s="20" t="s">
        <v>36</v>
      </c>
      <c r="M76" s="46">
        <f t="shared" si="53"/>
        <v>1100000</v>
      </c>
      <c r="N76" s="48">
        <f t="shared" si="54"/>
        <v>1171.92</v>
      </c>
      <c r="O76" s="20">
        <f t="shared" si="59"/>
        <v>1437.89</v>
      </c>
      <c r="P76" s="47">
        <f t="shared" si="48"/>
        <v>0.18497242487255633</v>
      </c>
      <c r="Q76" s="46">
        <f t="shared" si="49"/>
        <v>203469.66735981195</v>
      </c>
      <c r="R76" s="20"/>
      <c r="S76" s="20" t="s">
        <v>36</v>
      </c>
      <c r="T76" s="49">
        <f t="shared" si="55"/>
        <v>1566666.6666666667</v>
      </c>
      <c r="U76" s="48">
        <f t="shared" si="56"/>
        <v>1171.92</v>
      </c>
      <c r="V76" s="48">
        <f t="shared" si="56"/>
        <v>1437.89</v>
      </c>
      <c r="W76" s="47">
        <f t="shared" si="50"/>
        <v>0.18497242487255633</v>
      </c>
      <c r="X76" s="46">
        <f t="shared" si="51"/>
        <v>289790.13230033824</v>
      </c>
      <c r="Z76" s="20" t="s">
        <v>36</v>
      </c>
      <c r="AA76" s="49">
        <f>'data S&amp;P500'!AM76</f>
        <v>0</v>
      </c>
      <c r="AB76" s="48">
        <f t="shared" si="57"/>
        <v>1171.92</v>
      </c>
      <c r="AC76" s="48">
        <f t="shared" si="57"/>
        <v>1437.89</v>
      </c>
      <c r="AD76" s="47">
        <f t="shared" si="52"/>
        <v>0.18497242487255633</v>
      </c>
      <c r="AE76" s="46">
        <f t="shared" si="58"/>
        <v>0</v>
      </c>
    </row>
    <row r="77" spans="1:31" x14ac:dyDescent="0.25">
      <c r="L77" s="20" t="s">
        <v>37</v>
      </c>
      <c r="M77" s="46">
        <f t="shared" si="53"/>
        <v>1100000</v>
      </c>
      <c r="N77" s="48">
        <f t="shared" si="54"/>
        <v>1136.75</v>
      </c>
      <c r="O77" s="20">
        <f t="shared" si="59"/>
        <v>1437.89</v>
      </c>
      <c r="P77" s="47">
        <f t="shared" si="48"/>
        <v>0.20943187587367607</v>
      </c>
      <c r="Q77" s="46">
        <f t="shared" si="49"/>
        <v>230375.06346104367</v>
      </c>
      <c r="R77" s="20"/>
      <c r="S77" s="20" t="s">
        <v>37</v>
      </c>
      <c r="T77" s="49">
        <f t="shared" si="55"/>
        <v>1566666.6666666667</v>
      </c>
      <c r="U77" s="48">
        <f t="shared" si="56"/>
        <v>1136.75</v>
      </c>
      <c r="V77" s="48">
        <f t="shared" si="56"/>
        <v>1437.89</v>
      </c>
      <c r="W77" s="47">
        <f t="shared" si="50"/>
        <v>0.20943187587367607</v>
      </c>
      <c r="X77" s="46">
        <f t="shared" si="51"/>
        <v>328109.9388687592</v>
      </c>
      <c r="Z77" s="20" t="s">
        <v>37</v>
      </c>
      <c r="AA77" s="49">
        <f>'data S&amp;P500'!AM77</f>
        <v>0</v>
      </c>
      <c r="AB77" s="48">
        <f t="shared" si="57"/>
        <v>1136.75</v>
      </c>
      <c r="AC77" s="48">
        <f t="shared" si="57"/>
        <v>1437.89</v>
      </c>
      <c r="AD77" s="47">
        <f t="shared" si="52"/>
        <v>0.20943187587367607</v>
      </c>
      <c r="AE77" s="46">
        <f t="shared" si="58"/>
        <v>0</v>
      </c>
    </row>
    <row r="78" spans="1:31" x14ac:dyDescent="0.25">
      <c r="L78" s="20" t="s">
        <v>38</v>
      </c>
      <c r="M78" s="46">
        <f t="shared" si="53"/>
        <v>1100000</v>
      </c>
      <c r="N78" s="48">
        <f t="shared" si="54"/>
        <v>1258</v>
      </c>
      <c r="O78" s="20">
        <f t="shared" si="59"/>
        <v>1437.89</v>
      </c>
      <c r="P78" s="47">
        <f t="shared" si="48"/>
        <v>0.12510692751184033</v>
      </c>
      <c r="Q78" s="46">
        <f t="shared" si="49"/>
        <v>137617.62026302435</v>
      </c>
      <c r="R78" s="20"/>
      <c r="S78" s="20" t="s">
        <v>38</v>
      </c>
      <c r="T78" s="49">
        <f t="shared" si="55"/>
        <v>833333.33333333349</v>
      </c>
      <c r="U78" s="48">
        <f t="shared" si="56"/>
        <v>1258</v>
      </c>
      <c r="V78" s="48">
        <f t="shared" si="56"/>
        <v>1437.89</v>
      </c>
      <c r="W78" s="47">
        <f t="shared" si="50"/>
        <v>0.12510692751184033</v>
      </c>
      <c r="X78" s="46">
        <f t="shared" si="51"/>
        <v>104255.77292653362</v>
      </c>
      <c r="Z78" s="20" t="s">
        <v>38</v>
      </c>
      <c r="AA78" s="49">
        <f>'data S&amp;P500'!AM78</f>
        <v>0</v>
      </c>
      <c r="AB78" s="48">
        <f t="shared" si="57"/>
        <v>1258</v>
      </c>
      <c r="AC78" s="48">
        <f t="shared" si="57"/>
        <v>1437.89</v>
      </c>
      <c r="AD78" s="47">
        <f t="shared" si="52"/>
        <v>0.12510692751184033</v>
      </c>
      <c r="AE78" s="46">
        <f t="shared" si="58"/>
        <v>0</v>
      </c>
    </row>
    <row r="79" spans="1:31" x14ac:dyDescent="0.25">
      <c r="L79" s="20"/>
      <c r="M79" s="46">
        <f>SUM(M67:M78)</f>
        <v>13200000</v>
      </c>
      <c r="N79" s="20"/>
      <c r="O79" s="20"/>
      <c r="P79" s="47">
        <f>Q79/M79</f>
        <v>0.11754781891057969</v>
      </c>
      <c r="Q79" s="46">
        <f>SUM(Q67:Q78)</f>
        <v>1551631.209619652</v>
      </c>
      <c r="R79" s="20"/>
      <c r="S79" s="20"/>
      <c r="T79" s="46">
        <f>SUM(T67:T78)</f>
        <v>13200000</v>
      </c>
      <c r="U79" s="20"/>
      <c r="V79" s="20"/>
      <c r="W79" s="47">
        <f>X79/T79</f>
        <v>0.11410566099554835</v>
      </c>
      <c r="X79" s="46">
        <f>SUM(X67:X78)</f>
        <v>1506194.7251412382</v>
      </c>
      <c r="Z79" s="20"/>
      <c r="AA79" s="46">
        <f>SUM(AA67:AA78)</f>
        <v>0</v>
      </c>
      <c r="AB79" s="20"/>
      <c r="AC79" s="20"/>
      <c r="AD79" s="47" t="e">
        <f>AE79/AA79</f>
        <v>#DIV/0!</v>
      </c>
      <c r="AE79" s="46">
        <f>SUM(AE67:AE78)</f>
        <v>0</v>
      </c>
    </row>
    <row r="81" spans="12:31" x14ac:dyDescent="0.25">
      <c r="L81" s="20" t="s">
        <v>43</v>
      </c>
      <c r="M81" s="20">
        <v>2019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</row>
    <row r="82" spans="12:31" x14ac:dyDescent="0.25"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</row>
    <row r="83" spans="12:31" x14ac:dyDescent="0.25">
      <c r="L83" s="20" t="s">
        <v>27</v>
      </c>
      <c r="M83" s="46">
        <f>M67</f>
        <v>1100000</v>
      </c>
      <c r="N83" s="48">
        <f>VLOOKUP(_xlfn.CONCAT(L83,$M$81),$A$2:$J$73,6,0)</f>
        <v>1325.93</v>
      </c>
      <c r="O83" s="20">
        <f>VLOOKUP(_xlfn.CONCAT(L94,M81),$A$1:$E$73,5,0)</f>
        <v>1662.42</v>
      </c>
      <c r="P83" s="47">
        <f t="shared" ref="P83:P94" si="60">(O83-N83)/O83</f>
        <v>0.20240974001756476</v>
      </c>
      <c r="Q83" s="46">
        <f t="shared" ref="Q83:Q94" si="61">M83*P83</f>
        <v>222650.71401932123</v>
      </c>
      <c r="R83" s="20"/>
      <c r="S83" s="20" t="s">
        <v>27</v>
      </c>
      <c r="T83" s="49">
        <f>T67</f>
        <v>433333.33333333326</v>
      </c>
      <c r="U83" s="48">
        <f>N83</f>
        <v>1325.93</v>
      </c>
      <c r="V83" s="48">
        <f>O83</f>
        <v>1662.42</v>
      </c>
      <c r="W83" s="47">
        <f t="shared" ref="W83:W94" si="62">(V83-U83)/V83</f>
        <v>0.20240974001756476</v>
      </c>
      <c r="X83" s="46">
        <f t="shared" ref="X83:X94" si="63">T83*W83</f>
        <v>87710.887340944711</v>
      </c>
      <c r="Z83" s="20" t="s">
        <v>27</v>
      </c>
      <c r="AA83" s="49">
        <f>'data S&amp;P500'!AM83</f>
        <v>0</v>
      </c>
      <c r="AB83" s="48">
        <f>U83</f>
        <v>1325.93</v>
      </c>
      <c r="AC83" s="48">
        <f>V83</f>
        <v>1662.42</v>
      </c>
      <c r="AD83" s="47">
        <f t="shared" ref="AD83:AD94" si="64">(AC83-AB83)/AC83</f>
        <v>0.20240974001756476</v>
      </c>
      <c r="AE83" s="46">
        <f>AA83*AD83</f>
        <v>0</v>
      </c>
    </row>
    <row r="84" spans="12:31" x14ac:dyDescent="0.25">
      <c r="L84" s="20" t="s">
        <v>28</v>
      </c>
      <c r="M84" s="46">
        <f t="shared" ref="M84:M94" si="65">M68</f>
        <v>1100000</v>
      </c>
      <c r="N84" s="48">
        <f t="shared" ref="N84:N94" si="66">VLOOKUP(_xlfn.CONCAT(L84,$M$81),$A$2:$J$73,6,0)</f>
        <v>1447.01</v>
      </c>
      <c r="O84" s="20">
        <f>O83</f>
        <v>1662.42</v>
      </c>
      <c r="P84" s="47">
        <f t="shared" si="60"/>
        <v>0.12957616005582229</v>
      </c>
      <c r="Q84" s="46">
        <f t="shared" si="61"/>
        <v>142533.77606140453</v>
      </c>
      <c r="R84" s="20"/>
      <c r="S84" s="20" t="s">
        <v>28</v>
      </c>
      <c r="T84" s="49">
        <f t="shared" ref="T84:T94" si="67">T68</f>
        <v>1566666.6666666667</v>
      </c>
      <c r="U84" s="48">
        <f t="shared" ref="U84:V94" si="68">N84</f>
        <v>1447.01</v>
      </c>
      <c r="V84" s="48">
        <f t="shared" si="68"/>
        <v>1662.42</v>
      </c>
      <c r="W84" s="47">
        <f t="shared" si="62"/>
        <v>0.12957616005582229</v>
      </c>
      <c r="X84" s="46">
        <f t="shared" si="63"/>
        <v>203002.6507541216</v>
      </c>
      <c r="Z84" s="20" t="s">
        <v>28</v>
      </c>
      <c r="AA84" s="49">
        <f>'data S&amp;P500'!AM84</f>
        <v>0</v>
      </c>
      <c r="AB84" s="48">
        <f t="shared" ref="AB84:AC94" si="69">U84</f>
        <v>1447.01</v>
      </c>
      <c r="AC84" s="48">
        <f t="shared" si="69"/>
        <v>1662.42</v>
      </c>
      <c r="AD84" s="47">
        <f t="shared" si="64"/>
        <v>0.12957616005582229</v>
      </c>
      <c r="AE84" s="46">
        <f t="shared" ref="AE84:AE94" si="70">AA84*AD84</f>
        <v>0</v>
      </c>
    </row>
    <row r="85" spans="12:31" x14ac:dyDescent="0.25">
      <c r="L85" s="20" t="s">
        <v>29</v>
      </c>
      <c r="M85" s="46">
        <f t="shared" si="65"/>
        <v>1100000</v>
      </c>
      <c r="N85" s="48">
        <f t="shared" si="66"/>
        <v>1508.27</v>
      </c>
      <c r="O85" s="20">
        <f t="shared" ref="O85:O94" si="71">O84</f>
        <v>1662.42</v>
      </c>
      <c r="P85" s="47">
        <f t="shared" si="60"/>
        <v>9.2726266527111134E-2</v>
      </c>
      <c r="Q85" s="46">
        <f t="shared" si="61"/>
        <v>101998.89317982225</v>
      </c>
      <c r="R85" s="20"/>
      <c r="S85" s="20" t="s">
        <v>29</v>
      </c>
      <c r="T85" s="49">
        <f t="shared" si="67"/>
        <v>1566666.6666666667</v>
      </c>
      <c r="U85" s="48">
        <f t="shared" si="68"/>
        <v>1508.27</v>
      </c>
      <c r="V85" s="48">
        <f t="shared" si="68"/>
        <v>1662.42</v>
      </c>
      <c r="W85" s="47">
        <f t="shared" si="62"/>
        <v>9.2726266527111134E-2</v>
      </c>
      <c r="X85" s="46">
        <f t="shared" si="63"/>
        <v>145271.15089247411</v>
      </c>
      <c r="Z85" s="20" t="s">
        <v>29</v>
      </c>
      <c r="AA85" s="49">
        <f>'data S&amp;P500'!AM85</f>
        <v>0</v>
      </c>
      <c r="AB85" s="48">
        <f t="shared" si="69"/>
        <v>1508.27</v>
      </c>
      <c r="AC85" s="48">
        <f t="shared" si="69"/>
        <v>1662.42</v>
      </c>
      <c r="AD85" s="47">
        <f t="shared" si="64"/>
        <v>9.2726266527111134E-2</v>
      </c>
      <c r="AE85" s="46">
        <f t="shared" si="70"/>
        <v>0</v>
      </c>
    </row>
    <row r="86" spans="12:31" x14ac:dyDescent="0.25">
      <c r="L86" s="20" t="s">
        <v>30</v>
      </c>
      <c r="M86" s="46">
        <f t="shared" si="65"/>
        <v>1100000</v>
      </c>
      <c r="N86" s="48">
        <f t="shared" si="66"/>
        <v>1587.74</v>
      </c>
      <c r="O86" s="20">
        <f t="shared" si="71"/>
        <v>1662.42</v>
      </c>
      <c r="P86" s="47">
        <f t="shared" si="60"/>
        <v>4.4922462434282585E-2</v>
      </c>
      <c r="Q86" s="46">
        <f t="shared" si="61"/>
        <v>49414.708677710842</v>
      </c>
      <c r="R86" s="20"/>
      <c r="S86" s="20" t="s">
        <v>30</v>
      </c>
      <c r="T86" s="49">
        <f t="shared" si="67"/>
        <v>700000</v>
      </c>
      <c r="U86" s="48">
        <f t="shared" si="68"/>
        <v>1587.74</v>
      </c>
      <c r="V86" s="48">
        <f t="shared" si="68"/>
        <v>1662.42</v>
      </c>
      <c r="W86" s="47">
        <f t="shared" si="62"/>
        <v>4.4922462434282585E-2</v>
      </c>
      <c r="X86" s="46">
        <f t="shared" si="63"/>
        <v>31445.72370399781</v>
      </c>
      <c r="Z86" s="20" t="s">
        <v>30</v>
      </c>
      <c r="AA86" s="49">
        <f>'data S&amp;P500'!AM86</f>
        <v>0</v>
      </c>
      <c r="AB86" s="48">
        <f t="shared" si="69"/>
        <v>1587.74</v>
      </c>
      <c r="AC86" s="48">
        <f t="shared" si="69"/>
        <v>1662.42</v>
      </c>
      <c r="AD86" s="47">
        <f t="shared" si="64"/>
        <v>4.4922462434282585E-2</v>
      </c>
      <c r="AE86" s="46">
        <f t="shared" si="70"/>
        <v>0</v>
      </c>
    </row>
    <row r="87" spans="12:31" x14ac:dyDescent="0.25">
      <c r="L87" s="20" t="s">
        <v>31</v>
      </c>
      <c r="M87" s="46">
        <f t="shared" si="65"/>
        <v>1100000</v>
      </c>
      <c r="N87" s="48">
        <f t="shared" si="66"/>
        <v>1573.64</v>
      </c>
      <c r="O87" s="20">
        <f t="shared" si="71"/>
        <v>1662.42</v>
      </c>
      <c r="P87" s="47">
        <f t="shared" si="60"/>
        <v>5.3404073579480495E-2</v>
      </c>
      <c r="Q87" s="46">
        <f t="shared" si="61"/>
        <v>58744.480937428547</v>
      </c>
      <c r="R87" s="20"/>
      <c r="S87" s="20" t="s">
        <v>31</v>
      </c>
      <c r="T87" s="49">
        <f t="shared" si="67"/>
        <v>566666.66666666674</v>
      </c>
      <c r="U87" s="48">
        <f t="shared" si="68"/>
        <v>1573.64</v>
      </c>
      <c r="V87" s="48">
        <f t="shared" si="68"/>
        <v>1662.42</v>
      </c>
      <c r="W87" s="47">
        <f t="shared" si="62"/>
        <v>5.3404073579480495E-2</v>
      </c>
      <c r="X87" s="46">
        <f t="shared" si="63"/>
        <v>30262.308361705618</v>
      </c>
      <c r="Z87" s="20" t="s">
        <v>31</v>
      </c>
      <c r="AA87" s="49">
        <f>'data S&amp;P500'!AM87</f>
        <v>0</v>
      </c>
      <c r="AB87" s="48">
        <f t="shared" si="69"/>
        <v>1573.64</v>
      </c>
      <c r="AC87" s="48">
        <f t="shared" si="69"/>
        <v>1662.42</v>
      </c>
      <c r="AD87" s="47">
        <f t="shared" si="64"/>
        <v>5.3404073579480495E-2</v>
      </c>
      <c r="AE87" s="46">
        <f t="shared" si="70"/>
        <v>0</v>
      </c>
    </row>
    <row r="88" spans="12:31" x14ac:dyDescent="0.25">
      <c r="L88" s="20" t="s">
        <v>32</v>
      </c>
      <c r="M88" s="46">
        <f t="shared" si="65"/>
        <v>1100000</v>
      </c>
      <c r="N88" s="48">
        <f t="shared" si="66"/>
        <v>1487</v>
      </c>
      <c r="O88" s="20">
        <f t="shared" si="71"/>
        <v>1662.42</v>
      </c>
      <c r="P88" s="47">
        <f t="shared" si="60"/>
        <v>0.10552086716954805</v>
      </c>
      <c r="Q88" s="46">
        <f t="shared" si="61"/>
        <v>116072.95388650284</v>
      </c>
      <c r="R88" s="20"/>
      <c r="S88" s="20" t="s">
        <v>32</v>
      </c>
      <c r="T88" s="49">
        <f t="shared" si="67"/>
        <v>300000</v>
      </c>
      <c r="U88" s="48">
        <f t="shared" si="68"/>
        <v>1487</v>
      </c>
      <c r="V88" s="48">
        <f t="shared" si="68"/>
        <v>1662.42</v>
      </c>
      <c r="W88" s="47">
        <f t="shared" si="62"/>
        <v>0.10552086716954805</v>
      </c>
      <c r="X88" s="46">
        <f t="shared" si="63"/>
        <v>31656.260150864415</v>
      </c>
      <c r="Z88" s="20" t="s">
        <v>32</v>
      </c>
      <c r="AA88" s="49">
        <f>'data S&amp;P500'!AM88</f>
        <v>0</v>
      </c>
      <c r="AB88" s="48">
        <f t="shared" si="69"/>
        <v>1487</v>
      </c>
      <c r="AC88" s="48">
        <f t="shared" si="69"/>
        <v>1662.42</v>
      </c>
      <c r="AD88" s="47">
        <f t="shared" si="64"/>
        <v>0.10552086716954805</v>
      </c>
      <c r="AE88" s="46">
        <f t="shared" si="70"/>
        <v>0</v>
      </c>
    </row>
    <row r="89" spans="12:31" x14ac:dyDescent="0.25">
      <c r="L89" s="20" t="s">
        <v>33</v>
      </c>
      <c r="M89" s="46">
        <f t="shared" si="65"/>
        <v>1100000</v>
      </c>
      <c r="N89" s="48">
        <f t="shared" si="66"/>
        <v>1548.98</v>
      </c>
      <c r="O89" s="20">
        <f t="shared" si="71"/>
        <v>1662.42</v>
      </c>
      <c r="P89" s="47">
        <f t="shared" si="60"/>
        <v>6.8237870092996991E-2</v>
      </c>
      <c r="Q89" s="46">
        <f t="shared" si="61"/>
        <v>75061.657102296696</v>
      </c>
      <c r="R89" s="20"/>
      <c r="S89" s="20" t="s">
        <v>33</v>
      </c>
      <c r="T89" s="49">
        <f t="shared" si="67"/>
        <v>1566666.6666666667</v>
      </c>
      <c r="U89" s="48">
        <f t="shared" si="68"/>
        <v>1548.98</v>
      </c>
      <c r="V89" s="48">
        <f t="shared" si="68"/>
        <v>1662.42</v>
      </c>
      <c r="W89" s="47">
        <f t="shared" si="62"/>
        <v>6.8237870092996991E-2</v>
      </c>
      <c r="X89" s="46">
        <f t="shared" si="63"/>
        <v>106905.99647902862</v>
      </c>
      <c r="Z89" s="20" t="s">
        <v>33</v>
      </c>
      <c r="AA89" s="49">
        <f>'data S&amp;P500'!AM89</f>
        <v>0</v>
      </c>
      <c r="AB89" s="48">
        <f t="shared" si="69"/>
        <v>1548.98</v>
      </c>
      <c r="AC89" s="48">
        <f t="shared" si="69"/>
        <v>1662.42</v>
      </c>
      <c r="AD89" s="47">
        <f t="shared" si="64"/>
        <v>6.8237870092996991E-2</v>
      </c>
      <c r="AE89" s="46">
        <f t="shared" si="70"/>
        <v>0</v>
      </c>
    </row>
    <row r="90" spans="12:31" x14ac:dyDescent="0.25">
      <c r="L90" s="20" t="s">
        <v>34</v>
      </c>
      <c r="M90" s="46">
        <f t="shared" si="65"/>
        <v>1100000</v>
      </c>
      <c r="N90" s="48">
        <f t="shared" si="66"/>
        <v>1562.13</v>
      </c>
      <c r="O90" s="20">
        <f t="shared" si="71"/>
        <v>1662.42</v>
      </c>
      <c r="P90" s="47">
        <f t="shared" si="60"/>
        <v>6.0327715017865498E-2</v>
      </c>
      <c r="Q90" s="46">
        <f t="shared" si="61"/>
        <v>66360.48651965204</v>
      </c>
      <c r="R90" s="20"/>
      <c r="S90" s="20" t="s">
        <v>34</v>
      </c>
      <c r="T90" s="49">
        <f t="shared" si="67"/>
        <v>1566666.6666666667</v>
      </c>
      <c r="U90" s="48">
        <f t="shared" si="68"/>
        <v>1562.13</v>
      </c>
      <c r="V90" s="48">
        <f t="shared" si="68"/>
        <v>1662.42</v>
      </c>
      <c r="W90" s="47">
        <f t="shared" si="62"/>
        <v>6.0327715017865498E-2</v>
      </c>
      <c r="X90" s="46">
        <f t="shared" si="63"/>
        <v>94513.420194655948</v>
      </c>
      <c r="Z90" s="20" t="s">
        <v>34</v>
      </c>
      <c r="AA90" s="49">
        <f>'data S&amp;P500'!AM90</f>
        <v>0</v>
      </c>
      <c r="AB90" s="48">
        <f t="shared" si="69"/>
        <v>1562.13</v>
      </c>
      <c r="AC90" s="48">
        <f t="shared" si="69"/>
        <v>1662.42</v>
      </c>
      <c r="AD90" s="47">
        <f t="shared" si="64"/>
        <v>6.0327715017865498E-2</v>
      </c>
      <c r="AE90" s="46">
        <f t="shared" si="70"/>
        <v>0</v>
      </c>
    </row>
    <row r="91" spans="12:31" x14ac:dyDescent="0.25">
      <c r="L91" s="20" t="s">
        <v>35</v>
      </c>
      <c r="M91" s="46">
        <f t="shared" si="65"/>
        <v>1100000</v>
      </c>
      <c r="N91" s="48">
        <f t="shared" si="66"/>
        <v>1559.52</v>
      </c>
      <c r="O91" s="20">
        <f t="shared" si="71"/>
        <v>1662.42</v>
      </c>
      <c r="P91" s="47">
        <f t="shared" si="60"/>
        <v>6.1897715378785197E-2</v>
      </c>
      <c r="Q91" s="46">
        <f t="shared" si="61"/>
        <v>68087.486916663722</v>
      </c>
      <c r="R91" s="20"/>
      <c r="S91" s="20" t="s">
        <v>35</v>
      </c>
      <c r="T91" s="49">
        <f t="shared" si="67"/>
        <v>966666.66666666663</v>
      </c>
      <c r="U91" s="48">
        <f t="shared" si="68"/>
        <v>1559.52</v>
      </c>
      <c r="V91" s="48">
        <f t="shared" si="68"/>
        <v>1662.42</v>
      </c>
      <c r="W91" s="47">
        <f t="shared" si="62"/>
        <v>6.1897715378785197E-2</v>
      </c>
      <c r="X91" s="46">
        <f t="shared" si="63"/>
        <v>59834.458199492357</v>
      </c>
      <c r="Z91" s="20" t="s">
        <v>35</v>
      </c>
      <c r="AA91" s="49">
        <f>'data S&amp;P500'!AM91</f>
        <v>0</v>
      </c>
      <c r="AB91" s="48">
        <f t="shared" si="69"/>
        <v>1559.52</v>
      </c>
      <c r="AC91" s="48">
        <f t="shared" si="69"/>
        <v>1662.42</v>
      </c>
      <c r="AD91" s="47">
        <f t="shared" si="64"/>
        <v>6.1897715378785197E-2</v>
      </c>
      <c r="AE91" s="46">
        <f t="shared" si="70"/>
        <v>0</v>
      </c>
    </row>
    <row r="92" spans="12:31" x14ac:dyDescent="0.25">
      <c r="L92" s="20" t="s">
        <v>36</v>
      </c>
      <c r="M92" s="46">
        <f t="shared" si="65"/>
        <v>1100000</v>
      </c>
      <c r="N92" s="48">
        <f t="shared" si="66"/>
        <v>1577.96</v>
      </c>
      <c r="O92" s="20">
        <f t="shared" si="71"/>
        <v>1662.42</v>
      </c>
      <c r="P92" s="47">
        <f t="shared" si="60"/>
        <v>5.0805452292441163E-2</v>
      </c>
      <c r="Q92" s="46">
        <f t="shared" si="61"/>
        <v>55885.997521685276</v>
      </c>
      <c r="R92" s="20"/>
      <c r="S92" s="20" t="s">
        <v>36</v>
      </c>
      <c r="T92" s="49">
        <f t="shared" si="67"/>
        <v>1566666.6666666667</v>
      </c>
      <c r="U92" s="48">
        <f t="shared" si="68"/>
        <v>1577.96</v>
      </c>
      <c r="V92" s="48">
        <f t="shared" si="68"/>
        <v>1662.42</v>
      </c>
      <c r="W92" s="47">
        <f t="shared" si="62"/>
        <v>5.0805452292441163E-2</v>
      </c>
      <c r="X92" s="46">
        <f t="shared" si="63"/>
        <v>79595.208591491159</v>
      </c>
      <c r="Z92" s="20" t="s">
        <v>36</v>
      </c>
      <c r="AA92" s="49">
        <f>'data S&amp;P500'!AM92</f>
        <v>0</v>
      </c>
      <c r="AB92" s="48">
        <f t="shared" si="69"/>
        <v>1577.96</v>
      </c>
      <c r="AC92" s="48">
        <f t="shared" si="69"/>
        <v>1662.42</v>
      </c>
      <c r="AD92" s="47">
        <f t="shared" si="64"/>
        <v>5.0805452292441163E-2</v>
      </c>
      <c r="AE92" s="46">
        <f t="shared" si="70"/>
        <v>0</v>
      </c>
    </row>
    <row r="93" spans="12:31" x14ac:dyDescent="0.25">
      <c r="L93" s="20" t="s">
        <v>37</v>
      </c>
      <c r="M93" s="46">
        <f t="shared" si="65"/>
        <v>1100000</v>
      </c>
      <c r="N93" s="48">
        <f t="shared" si="66"/>
        <v>1633.15</v>
      </c>
      <c r="O93" s="20">
        <f t="shared" si="71"/>
        <v>1662.42</v>
      </c>
      <c r="P93" s="47">
        <f t="shared" si="60"/>
        <v>1.7606862285102429E-2</v>
      </c>
      <c r="Q93" s="46">
        <f t="shared" si="61"/>
        <v>19367.54851361267</v>
      </c>
      <c r="R93" s="20"/>
      <c r="S93" s="20" t="s">
        <v>37</v>
      </c>
      <c r="T93" s="49">
        <f t="shared" si="67"/>
        <v>1566666.6666666667</v>
      </c>
      <c r="U93" s="48">
        <f t="shared" si="68"/>
        <v>1633.15</v>
      </c>
      <c r="V93" s="48">
        <f t="shared" si="68"/>
        <v>1662.42</v>
      </c>
      <c r="W93" s="47">
        <f t="shared" si="62"/>
        <v>1.7606862285102429E-2</v>
      </c>
      <c r="X93" s="46">
        <f t="shared" si="63"/>
        <v>27584.084246660474</v>
      </c>
      <c r="Z93" s="20" t="s">
        <v>37</v>
      </c>
      <c r="AA93" s="49">
        <f>'data S&amp;P500'!AM93</f>
        <v>0</v>
      </c>
      <c r="AB93" s="48">
        <f t="shared" si="69"/>
        <v>1633.15</v>
      </c>
      <c r="AC93" s="48">
        <f t="shared" si="69"/>
        <v>1662.42</v>
      </c>
      <c r="AD93" s="47">
        <f t="shared" si="64"/>
        <v>1.7606862285102429E-2</v>
      </c>
      <c r="AE93" s="46">
        <f t="shared" si="70"/>
        <v>0</v>
      </c>
    </row>
    <row r="94" spans="12:31" x14ac:dyDescent="0.25">
      <c r="L94" s="20" t="s">
        <v>38</v>
      </c>
      <c r="M94" s="46">
        <f t="shared" si="65"/>
        <v>1100000</v>
      </c>
      <c r="N94" s="48">
        <f t="shared" si="66"/>
        <v>1611.92</v>
      </c>
      <c r="O94" s="20">
        <f t="shared" si="71"/>
        <v>1662.42</v>
      </c>
      <c r="P94" s="47">
        <f t="shared" si="60"/>
        <v>3.037740161932604E-2</v>
      </c>
      <c r="Q94" s="46">
        <f t="shared" si="61"/>
        <v>33415.141781258644</v>
      </c>
      <c r="R94" s="20"/>
      <c r="S94" s="20" t="s">
        <v>38</v>
      </c>
      <c r="T94" s="49">
        <f t="shared" si="67"/>
        <v>833333.33333333349</v>
      </c>
      <c r="U94" s="48">
        <f t="shared" si="68"/>
        <v>1611.92</v>
      </c>
      <c r="V94" s="48">
        <f t="shared" si="68"/>
        <v>1662.42</v>
      </c>
      <c r="W94" s="47">
        <f t="shared" si="62"/>
        <v>3.037740161932604E-2</v>
      </c>
      <c r="X94" s="46">
        <f t="shared" si="63"/>
        <v>25314.501349438371</v>
      </c>
      <c r="Z94" s="20" t="s">
        <v>38</v>
      </c>
      <c r="AA94" s="49">
        <f>'data S&amp;P500'!AM94</f>
        <v>0</v>
      </c>
      <c r="AB94" s="48">
        <f t="shared" si="69"/>
        <v>1611.92</v>
      </c>
      <c r="AC94" s="48">
        <f t="shared" si="69"/>
        <v>1662.42</v>
      </c>
      <c r="AD94" s="47">
        <f t="shared" si="64"/>
        <v>3.037740161932604E-2</v>
      </c>
      <c r="AE94" s="46">
        <f t="shared" si="70"/>
        <v>0</v>
      </c>
    </row>
    <row r="95" spans="12:31" x14ac:dyDescent="0.25">
      <c r="L95" s="20"/>
      <c r="M95" s="46">
        <f>SUM(M83:M94)</f>
        <v>13200000</v>
      </c>
      <c r="N95" s="20"/>
      <c r="O95" s="20"/>
      <c r="P95" s="47">
        <f>Q95/M95</f>
        <v>7.6484382205860568E-2</v>
      </c>
      <c r="Q95" s="46">
        <f>SUM(Q83:Q94)</f>
        <v>1009593.8451173594</v>
      </c>
      <c r="R95" s="20"/>
      <c r="S95" s="20"/>
      <c r="T95" s="46">
        <f>SUM(T83:T94)</f>
        <v>13200000</v>
      </c>
      <c r="U95" s="20"/>
      <c r="V95" s="20"/>
      <c r="W95" s="47">
        <f>X95/T95</f>
        <v>6.9931564414005679E-2</v>
      </c>
      <c r="X95" s="46">
        <f>SUM(X83:X94)</f>
        <v>923096.65026487503</v>
      </c>
      <c r="Z95" s="20"/>
      <c r="AA95" s="46">
        <f>SUM(AA83:AA94)</f>
        <v>0</v>
      </c>
      <c r="AB95" s="20"/>
      <c r="AC95" s="20"/>
      <c r="AD95" s="47" t="e">
        <f>AE95/AA95</f>
        <v>#DIV/0!</v>
      </c>
      <c r="AE95" s="46">
        <f>SUM(AE83:AE94)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0FD0-AC48-487A-8D5A-9B04E93E73FB}">
  <dimension ref="A1:BH95"/>
  <sheetViews>
    <sheetView topLeftCell="AH1" workbookViewId="0">
      <selection activeCell="AM83" sqref="AM83:AM94"/>
    </sheetView>
  </sheetViews>
  <sheetFormatPr baseColWidth="10" defaultColWidth="11.42578125" defaultRowHeight="15" x14ac:dyDescent="0.25"/>
  <cols>
    <col min="1" max="20" width="11.42578125" style="1"/>
    <col min="21" max="21" width="12.42578125" style="1" bestFit="1" customWidth="1"/>
    <col min="22" max="53" width="11.42578125" style="1"/>
    <col min="54" max="60" width="10.85546875" customWidth="1"/>
    <col min="61" max="16384" width="11.42578125" style="1"/>
  </cols>
  <sheetData>
    <row r="1" spans="1:60" x14ac:dyDescent="0.25">
      <c r="A1" s="1" t="s">
        <v>45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L1" s="20" t="s">
        <v>43</v>
      </c>
      <c r="M1" s="20">
        <v>2024</v>
      </c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Y1" s="1" t="s">
        <v>45</v>
      </c>
      <c r="AZ1" s="1" t="s">
        <v>50</v>
      </c>
      <c r="BA1" s="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25">
      <c r="A2" s="1" t="str">
        <f>_xlfn.CONCAT(B2,C2)</f>
        <v>diciembre2024</v>
      </c>
      <c r="B2" s="1" t="s">
        <v>59</v>
      </c>
      <c r="C2" s="1">
        <v>2024</v>
      </c>
      <c r="D2" s="62">
        <v>45303</v>
      </c>
      <c r="E2" s="1">
        <v>586.08000000000004</v>
      </c>
      <c r="F2" s="1">
        <v>602.97</v>
      </c>
      <c r="G2" s="1">
        <v>609.07000000000005</v>
      </c>
      <c r="H2" s="1">
        <v>580.91</v>
      </c>
      <c r="I2" s="1" t="s">
        <v>60</v>
      </c>
      <c r="J2" s="1">
        <v>-2.7300000000000001E-2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Y2" s="1" t="str">
        <f>_xlfn.CONCAT(AZ2,BA2)</f>
        <v>diciembre2024</v>
      </c>
      <c r="AZ2" s="1" t="s">
        <v>59</v>
      </c>
      <c r="BA2" s="1">
        <v>2024</v>
      </c>
      <c r="BB2" s="59">
        <v>45303</v>
      </c>
      <c r="BC2" s="60">
        <v>4401.96</v>
      </c>
      <c r="BD2" s="60">
        <v>4432.9799999999996</v>
      </c>
      <c r="BE2" s="60">
        <v>4482.29</v>
      </c>
      <c r="BF2" s="60">
        <v>4308.12</v>
      </c>
      <c r="BH2" s="61">
        <v>-6.8999999999999999E-3</v>
      </c>
    </row>
    <row r="3" spans="1:60" x14ac:dyDescent="0.25">
      <c r="A3" s="1" t="str">
        <f t="shared" ref="A3:A66" si="0">_xlfn.CONCAT(B3,C3)</f>
        <v>noviembre2024</v>
      </c>
      <c r="B3" s="1" t="s">
        <v>61</v>
      </c>
      <c r="C3" s="1">
        <v>2024</v>
      </c>
      <c r="D3" s="62">
        <v>45302</v>
      </c>
      <c r="E3" s="1">
        <v>602.54999999999995</v>
      </c>
      <c r="F3" s="1">
        <v>571.32000000000005</v>
      </c>
      <c r="G3" s="1">
        <v>603.35</v>
      </c>
      <c r="H3" s="1">
        <v>567.89</v>
      </c>
      <c r="I3" s="1" t="s">
        <v>62</v>
      </c>
      <c r="J3" s="1">
        <v>5.96E-2</v>
      </c>
      <c r="L3" s="20" t="s">
        <v>27</v>
      </c>
      <c r="M3" s="46" t="str">
        <f>'Actividades 2025'!H6</f>
        <v/>
      </c>
      <c r="N3" s="46">
        <f>VLOOKUP(_xlfn.CONCAT(L3,$M$1),'data S&amp;P500'!$AY$2:$BH$73,6,0)</f>
        <v>3872.5</v>
      </c>
      <c r="O3" s="46" t="e">
        <f>M3/N3</f>
        <v>#VALUE!</v>
      </c>
      <c r="P3" s="48">
        <f>VLOOKUP(_xlfn.CONCAT(L3,$M$1),'data S&amp;P500'!$A$2:$J$73,6,0)</f>
        <v>472.16</v>
      </c>
      <c r="Q3" s="20">
        <f>VLOOKUP(_xlfn.CONCAT(L14,M1),$A$1:$E$73,5,0)</f>
        <v>586.08000000000004</v>
      </c>
      <c r="R3" s="47">
        <f t="shared" ref="R3:R14" si="1">(Q3-P3)/Q3</f>
        <v>0.19437619437619438</v>
      </c>
      <c r="S3" s="46" t="e">
        <f>O3*(1+R3)</f>
        <v>#VALUE!</v>
      </c>
      <c r="T3" s="46">
        <f>VLOOKUP(_xlfn.CONCAT(L14,M1),$AY$1:$BC$73,5,0)</f>
        <v>4401.96</v>
      </c>
      <c r="U3" s="46" t="e">
        <f>T3*S3</f>
        <v>#VALUE!</v>
      </c>
      <c r="V3" s="46" t="e">
        <f>U3-M3</f>
        <v>#VALUE!</v>
      </c>
      <c r="W3" s="47" t="e">
        <f>V3/M3</f>
        <v>#VALUE!</v>
      </c>
      <c r="X3" s="20"/>
      <c r="Y3" s="20" t="s">
        <v>27</v>
      </c>
      <c r="Z3" s="49" t="e">
        <f>'Actividades 2025'!H11</f>
        <v>#VALUE!</v>
      </c>
      <c r="AA3" s="46">
        <f>N3</f>
        <v>3872.5</v>
      </c>
      <c r="AB3" s="46" t="e">
        <f>Z3/AA3</f>
        <v>#VALUE!</v>
      </c>
      <c r="AC3" s="48">
        <f>P3</f>
        <v>472.16</v>
      </c>
      <c r="AD3" s="48">
        <f>Q3</f>
        <v>586.08000000000004</v>
      </c>
      <c r="AE3" s="47">
        <f t="shared" ref="AE3:AE14" si="2">(AD3-AC3)/AD3</f>
        <v>0.19437619437619438</v>
      </c>
      <c r="AF3" s="46" t="e">
        <f>AB3*(1+AE3)</f>
        <v>#VALUE!</v>
      </c>
      <c r="AG3" s="46">
        <f>T3</f>
        <v>4401.96</v>
      </c>
      <c r="AH3" s="46" t="e">
        <f>AG3*AF3</f>
        <v>#VALUE!</v>
      </c>
      <c r="AI3" s="46" t="e">
        <f>AH3-Z3</f>
        <v>#VALUE!</v>
      </c>
      <c r="AJ3" s="47" t="e">
        <f>AI3/Z3</f>
        <v>#VALUE!</v>
      </c>
      <c r="AL3" s="20" t="s">
        <v>27</v>
      </c>
      <c r="AM3" s="49">
        <f>'Actividades 2025'!H19</f>
        <v>0</v>
      </c>
      <c r="AN3" s="46">
        <f>AA3</f>
        <v>3872.5</v>
      </c>
      <c r="AO3" s="46">
        <f>AM3/AN3</f>
        <v>0</v>
      </c>
      <c r="AP3" s="48">
        <f>AC3</f>
        <v>472.16</v>
      </c>
      <c r="AQ3" s="48">
        <f>AD3</f>
        <v>586.08000000000004</v>
      </c>
      <c r="AR3" s="47">
        <f t="shared" ref="AR3:AR14" si="3">(AQ3-AP3)/AQ3</f>
        <v>0.19437619437619438</v>
      </c>
      <c r="AS3" s="46">
        <f>AO3*(1+AR3)</f>
        <v>0</v>
      </c>
      <c r="AT3" s="46">
        <f>AG3</f>
        <v>4401.96</v>
      </c>
      <c r="AU3" s="46">
        <f>AT3*AS3</f>
        <v>0</v>
      </c>
      <c r="AV3" s="46">
        <f>AU3-AM3</f>
        <v>0</v>
      </c>
      <c r="AW3" s="47" t="e">
        <f>AV3/AM3</f>
        <v>#DIV/0!</v>
      </c>
      <c r="AY3" s="1" t="str">
        <f t="shared" ref="AY3:AY66" si="4">_xlfn.CONCAT(AZ3,BA3)</f>
        <v>noviembre2024</v>
      </c>
      <c r="AZ3" s="1" t="s">
        <v>61</v>
      </c>
      <c r="BA3" s="1">
        <v>2024</v>
      </c>
      <c r="BB3" s="59">
        <v>45302</v>
      </c>
      <c r="BC3" s="60">
        <v>4432.5</v>
      </c>
      <c r="BD3" s="60">
        <v>4427.8</v>
      </c>
      <c r="BE3" s="60">
        <v>4543.59</v>
      </c>
      <c r="BF3" s="60">
        <v>4294</v>
      </c>
      <c r="BH3" s="61">
        <v>1.6999999999999999E-3</v>
      </c>
    </row>
    <row r="4" spans="1:60" x14ac:dyDescent="0.25">
      <c r="A4" s="1" t="str">
        <f t="shared" si="0"/>
        <v>octubre2024</v>
      </c>
      <c r="B4" s="1" t="s">
        <v>63</v>
      </c>
      <c r="C4" s="1">
        <v>2024</v>
      </c>
      <c r="D4" s="62">
        <v>45301</v>
      </c>
      <c r="E4" s="1">
        <v>568.64</v>
      </c>
      <c r="F4" s="1">
        <v>573.4</v>
      </c>
      <c r="G4" s="1">
        <v>586.12</v>
      </c>
      <c r="H4" s="1">
        <v>565.27</v>
      </c>
      <c r="I4" s="1" t="s">
        <v>64</v>
      </c>
      <c r="J4" s="1">
        <v>-8.8999999999999999E-3</v>
      </c>
      <c r="L4" s="20" t="s">
        <v>28</v>
      </c>
      <c r="M4" s="46" t="str">
        <f>'Actividades 2025'!I6</f>
        <v/>
      </c>
      <c r="N4" s="46">
        <f>VLOOKUP(_xlfn.CONCAT(L4,$M$1),'data S&amp;P500'!$AY$2:$BH$73,6,0)</f>
        <v>3915.05</v>
      </c>
      <c r="O4" s="46" t="e">
        <f t="shared" ref="O4:O14" si="5">M4/N4</f>
        <v>#VALUE!</v>
      </c>
      <c r="P4" s="48">
        <f>VLOOKUP(_xlfn.CONCAT(L4,$M$1),'data S&amp;P500'!$A$2:$J$73,6,0)</f>
        <v>484.63</v>
      </c>
      <c r="Q4" s="20">
        <f>Q3</f>
        <v>586.08000000000004</v>
      </c>
      <c r="R4" s="47">
        <f t="shared" si="1"/>
        <v>0.17309923559923565</v>
      </c>
      <c r="S4" s="46" t="e">
        <f t="shared" ref="S4:S14" si="6">O4*(1+R4)</f>
        <v>#VALUE!</v>
      </c>
      <c r="T4" s="46">
        <f>T3</f>
        <v>4401.96</v>
      </c>
      <c r="U4" s="46" t="e">
        <f t="shared" ref="U4:U14" si="7">T4*S4</f>
        <v>#VALUE!</v>
      </c>
      <c r="V4" s="46" t="e">
        <f t="shared" ref="V4:V14" si="8">U4-M4</f>
        <v>#VALUE!</v>
      </c>
      <c r="W4" s="47" t="e">
        <f t="shared" ref="W4:W14" si="9">V4/M4</f>
        <v>#VALUE!</v>
      </c>
      <c r="X4" s="20"/>
      <c r="Y4" s="20" t="s">
        <v>28</v>
      </c>
      <c r="Z4" s="49" t="e">
        <f>'Actividades 2025'!I11</f>
        <v>#VALUE!</v>
      </c>
      <c r="AA4" s="46">
        <f t="shared" ref="AA4:AA14" si="10">N4</f>
        <v>3915.05</v>
      </c>
      <c r="AB4" s="46" t="e">
        <f t="shared" ref="AB4:AB14" si="11">Z4/AA4</f>
        <v>#VALUE!</v>
      </c>
      <c r="AC4" s="48">
        <f t="shared" ref="AC4:AC14" si="12">P4</f>
        <v>484.63</v>
      </c>
      <c r="AD4" s="48">
        <f t="shared" ref="AD4:AD14" si="13">Q4</f>
        <v>586.08000000000004</v>
      </c>
      <c r="AE4" s="47">
        <f t="shared" si="2"/>
        <v>0.17309923559923565</v>
      </c>
      <c r="AF4" s="46" t="e">
        <f t="shared" ref="AF4:AF14" si="14">AB4*(1+AE4)</f>
        <v>#VALUE!</v>
      </c>
      <c r="AG4" s="46">
        <f>AG3</f>
        <v>4401.96</v>
      </c>
      <c r="AH4" s="46" t="e">
        <f t="shared" ref="AH4:AH14" si="15">AG4*AF4</f>
        <v>#VALUE!</v>
      </c>
      <c r="AI4" s="46" t="e">
        <f t="shared" ref="AI4:AI14" si="16">AH4-Z4</f>
        <v>#VALUE!</v>
      </c>
      <c r="AJ4" s="47" t="e">
        <f t="shared" ref="AJ4:AJ14" si="17">AI4/Z4</f>
        <v>#VALUE!</v>
      </c>
      <c r="AL4" s="20" t="s">
        <v>28</v>
      </c>
      <c r="AM4" s="49">
        <f>'Actividades 2025'!I19</f>
        <v>0</v>
      </c>
      <c r="AN4" s="46">
        <f t="shared" ref="AN4:AN14" si="18">AA4</f>
        <v>3915.05</v>
      </c>
      <c r="AO4" s="46">
        <f t="shared" ref="AO4:AO14" si="19">AM4/AN4</f>
        <v>0</v>
      </c>
      <c r="AP4" s="48">
        <f t="shared" ref="AP4:AP14" si="20">AC4</f>
        <v>484.63</v>
      </c>
      <c r="AQ4" s="48">
        <f t="shared" ref="AQ4:AQ14" si="21">AD4</f>
        <v>586.08000000000004</v>
      </c>
      <c r="AR4" s="47">
        <f t="shared" si="3"/>
        <v>0.17309923559923565</v>
      </c>
      <c r="AS4" s="46">
        <f t="shared" ref="AS4:AS14" si="22">AO4*(1+AR4)</f>
        <v>0</v>
      </c>
      <c r="AT4" s="46">
        <f>AT3</f>
        <v>4401.96</v>
      </c>
      <c r="AU4" s="46">
        <f t="shared" ref="AU4:AU14" si="23">AT4*AS4</f>
        <v>0</v>
      </c>
      <c r="AV4" s="46">
        <f t="shared" ref="AV4:AV14" si="24">AU4-AM4</f>
        <v>0</v>
      </c>
      <c r="AW4" s="47" t="e">
        <f t="shared" ref="AW4:AW14" si="25">AV4/AM4</f>
        <v>#DIV/0!</v>
      </c>
      <c r="AY4" s="1" t="str">
        <f t="shared" si="4"/>
        <v>octubre2024</v>
      </c>
      <c r="AZ4" s="1" t="s">
        <v>63</v>
      </c>
      <c r="BA4" s="1">
        <v>2024</v>
      </c>
      <c r="BB4" s="59">
        <v>45301</v>
      </c>
      <c r="BC4" s="60">
        <v>4425.07</v>
      </c>
      <c r="BD4" s="60">
        <v>4209.5</v>
      </c>
      <c r="BE4" s="60">
        <v>4435.5</v>
      </c>
      <c r="BF4" s="60">
        <v>4154.75</v>
      </c>
      <c r="BH4" s="61">
        <v>5.21E-2</v>
      </c>
    </row>
    <row r="5" spans="1:60" x14ac:dyDescent="0.25">
      <c r="A5" s="1" t="str">
        <f t="shared" si="0"/>
        <v>septiembre2024</v>
      </c>
      <c r="B5" s="1" t="s">
        <v>65</v>
      </c>
      <c r="C5" s="1">
        <v>2024</v>
      </c>
      <c r="D5" s="62">
        <v>45300</v>
      </c>
      <c r="E5" s="1">
        <v>573.76</v>
      </c>
      <c r="F5" s="1">
        <v>560.47</v>
      </c>
      <c r="G5" s="1">
        <v>574.71</v>
      </c>
      <c r="H5" s="1">
        <v>539.44000000000005</v>
      </c>
      <c r="I5" s="1" t="s">
        <v>66</v>
      </c>
      <c r="J5" s="1">
        <v>1.7899999999999999E-2</v>
      </c>
      <c r="L5" s="20" t="s">
        <v>29</v>
      </c>
      <c r="M5" s="46" t="str">
        <f>'Actividades 2025'!J6</f>
        <v/>
      </c>
      <c r="N5" s="46">
        <f>VLOOKUP(_xlfn.CONCAT(L5,$M$1),'data S&amp;P500'!$AY$2:$BH$73,6,0)</f>
        <v>3925.76</v>
      </c>
      <c r="O5" s="46" t="e">
        <f t="shared" si="5"/>
        <v>#VALUE!</v>
      </c>
      <c r="P5" s="48">
        <f>VLOOKUP(_xlfn.CONCAT(L5,$M$1),'data S&amp;P500'!$A$2:$J$73,6,0)</f>
        <v>508.98</v>
      </c>
      <c r="Q5" s="20">
        <f t="shared" ref="Q5:Q14" si="26">Q4</f>
        <v>586.08000000000004</v>
      </c>
      <c r="R5" s="47">
        <f t="shared" si="1"/>
        <v>0.13155200655200658</v>
      </c>
      <c r="S5" s="46" t="e">
        <f t="shared" si="6"/>
        <v>#VALUE!</v>
      </c>
      <c r="T5" s="46">
        <f t="shared" ref="T5:T14" si="27">T4</f>
        <v>4401.96</v>
      </c>
      <c r="U5" s="46" t="e">
        <f t="shared" si="7"/>
        <v>#VALUE!</v>
      </c>
      <c r="V5" s="46" t="e">
        <f t="shared" si="8"/>
        <v>#VALUE!</v>
      </c>
      <c r="W5" s="47" t="e">
        <f t="shared" si="9"/>
        <v>#VALUE!</v>
      </c>
      <c r="X5" s="20"/>
      <c r="Y5" s="20" t="s">
        <v>29</v>
      </c>
      <c r="Z5" s="49" t="e">
        <f>'Actividades 2025'!J11</f>
        <v>#VALUE!</v>
      </c>
      <c r="AA5" s="46">
        <f t="shared" si="10"/>
        <v>3925.76</v>
      </c>
      <c r="AB5" s="46" t="e">
        <f t="shared" si="11"/>
        <v>#VALUE!</v>
      </c>
      <c r="AC5" s="48">
        <f t="shared" si="12"/>
        <v>508.98</v>
      </c>
      <c r="AD5" s="48">
        <f t="shared" si="13"/>
        <v>586.08000000000004</v>
      </c>
      <c r="AE5" s="47">
        <f t="shared" si="2"/>
        <v>0.13155200655200658</v>
      </c>
      <c r="AF5" s="46" t="e">
        <f t="shared" si="14"/>
        <v>#VALUE!</v>
      </c>
      <c r="AG5" s="46">
        <f t="shared" ref="AG5:AG14" si="28">AG4</f>
        <v>4401.96</v>
      </c>
      <c r="AH5" s="46" t="e">
        <f t="shared" si="15"/>
        <v>#VALUE!</v>
      </c>
      <c r="AI5" s="46" t="e">
        <f t="shared" si="16"/>
        <v>#VALUE!</v>
      </c>
      <c r="AJ5" s="47" t="e">
        <f t="shared" si="17"/>
        <v>#VALUE!</v>
      </c>
      <c r="AL5" s="20" t="s">
        <v>29</v>
      </c>
      <c r="AM5" s="49">
        <f>'Actividades 2025'!J19</f>
        <v>0</v>
      </c>
      <c r="AN5" s="46">
        <f t="shared" si="18"/>
        <v>3925.76</v>
      </c>
      <c r="AO5" s="46">
        <f t="shared" si="19"/>
        <v>0</v>
      </c>
      <c r="AP5" s="48">
        <f t="shared" si="20"/>
        <v>508.98</v>
      </c>
      <c r="AQ5" s="48">
        <f t="shared" si="21"/>
        <v>586.08000000000004</v>
      </c>
      <c r="AR5" s="47">
        <f t="shared" si="3"/>
        <v>0.13155200655200658</v>
      </c>
      <c r="AS5" s="46">
        <f t="shared" si="22"/>
        <v>0</v>
      </c>
      <c r="AT5" s="46">
        <f t="shared" ref="AT5:AT14" si="29">AT4</f>
        <v>4401.96</v>
      </c>
      <c r="AU5" s="46">
        <f t="shared" si="23"/>
        <v>0</v>
      </c>
      <c r="AV5" s="46">
        <f t="shared" si="24"/>
        <v>0</v>
      </c>
      <c r="AW5" s="47" t="e">
        <f t="shared" si="25"/>
        <v>#DIV/0!</v>
      </c>
      <c r="AY5" s="1" t="str">
        <f t="shared" si="4"/>
        <v>septiembre2024</v>
      </c>
      <c r="AZ5" s="1" t="s">
        <v>65</v>
      </c>
      <c r="BA5" s="1">
        <v>2024</v>
      </c>
      <c r="BB5" s="59">
        <v>45300</v>
      </c>
      <c r="BC5" s="60">
        <v>4205.97</v>
      </c>
      <c r="BD5" s="60">
        <v>4172.5</v>
      </c>
      <c r="BE5" s="60">
        <v>4301.37</v>
      </c>
      <c r="BF5" s="60">
        <v>4121.2700000000004</v>
      </c>
      <c r="BH5" s="61">
        <v>4.7000000000000002E-3</v>
      </c>
    </row>
    <row r="6" spans="1:60" x14ac:dyDescent="0.25">
      <c r="A6" s="1" t="str">
        <f t="shared" si="0"/>
        <v>agosto2024</v>
      </c>
      <c r="B6" s="1" t="s">
        <v>67</v>
      </c>
      <c r="C6" s="1">
        <v>2024</v>
      </c>
      <c r="D6" s="62">
        <v>45299</v>
      </c>
      <c r="E6" s="1">
        <v>563.67999999999995</v>
      </c>
      <c r="F6" s="1">
        <v>552.57000000000005</v>
      </c>
      <c r="G6" s="1">
        <v>564.20000000000005</v>
      </c>
      <c r="H6" s="1">
        <v>510.27</v>
      </c>
      <c r="I6" s="1" t="s">
        <v>68</v>
      </c>
      <c r="J6" s="1">
        <v>2.3400000000000001E-2</v>
      </c>
      <c r="L6" s="20" t="s">
        <v>30</v>
      </c>
      <c r="M6" s="46" t="str">
        <f>'Actividades 2025'!K6</f>
        <v/>
      </c>
      <c r="N6" s="46">
        <f>VLOOKUP(_xlfn.CONCAT(L6,$M$1),'data S&amp;P500'!$AY$2:$BH$73,6,0)</f>
        <v>3861.2</v>
      </c>
      <c r="O6" s="46" t="e">
        <f t="shared" si="5"/>
        <v>#VALUE!</v>
      </c>
      <c r="P6" s="48">
        <f>VLOOKUP(_xlfn.CONCAT(L6,$M$1),'data S&amp;P500'!$A$2:$J$73,6,0)</f>
        <v>523.83000000000004</v>
      </c>
      <c r="Q6" s="20">
        <f t="shared" si="26"/>
        <v>586.08000000000004</v>
      </c>
      <c r="R6" s="47">
        <f t="shared" si="1"/>
        <v>0.10621416871416871</v>
      </c>
      <c r="S6" s="46" t="e">
        <f t="shared" si="6"/>
        <v>#VALUE!</v>
      </c>
      <c r="T6" s="46">
        <f t="shared" si="27"/>
        <v>4401.96</v>
      </c>
      <c r="U6" s="46" t="e">
        <f t="shared" si="7"/>
        <v>#VALUE!</v>
      </c>
      <c r="V6" s="46" t="e">
        <f t="shared" si="8"/>
        <v>#VALUE!</v>
      </c>
      <c r="W6" s="47" t="e">
        <f t="shared" si="9"/>
        <v>#VALUE!</v>
      </c>
      <c r="X6" s="20"/>
      <c r="Y6" s="20" t="s">
        <v>30</v>
      </c>
      <c r="Z6" s="49" t="e">
        <f>'Actividades 2025'!K11</f>
        <v>#VALUE!</v>
      </c>
      <c r="AA6" s="46">
        <f t="shared" si="10"/>
        <v>3861.2</v>
      </c>
      <c r="AB6" s="46" t="e">
        <f t="shared" si="11"/>
        <v>#VALUE!</v>
      </c>
      <c r="AC6" s="48">
        <f t="shared" si="12"/>
        <v>523.83000000000004</v>
      </c>
      <c r="AD6" s="48">
        <f t="shared" si="13"/>
        <v>586.08000000000004</v>
      </c>
      <c r="AE6" s="47">
        <f t="shared" si="2"/>
        <v>0.10621416871416871</v>
      </c>
      <c r="AF6" s="46" t="e">
        <f t="shared" si="14"/>
        <v>#VALUE!</v>
      </c>
      <c r="AG6" s="46">
        <f t="shared" si="28"/>
        <v>4401.96</v>
      </c>
      <c r="AH6" s="46" t="e">
        <f t="shared" si="15"/>
        <v>#VALUE!</v>
      </c>
      <c r="AI6" s="46" t="e">
        <f t="shared" si="16"/>
        <v>#VALUE!</v>
      </c>
      <c r="AJ6" s="47" t="e">
        <f t="shared" si="17"/>
        <v>#VALUE!</v>
      </c>
      <c r="AL6" s="20" t="s">
        <v>30</v>
      </c>
      <c r="AM6" s="49">
        <f>'Actividades 2025'!K19</f>
        <v>0</v>
      </c>
      <c r="AN6" s="46">
        <f t="shared" si="18"/>
        <v>3861.2</v>
      </c>
      <c r="AO6" s="46">
        <f t="shared" si="19"/>
        <v>0</v>
      </c>
      <c r="AP6" s="48">
        <f t="shared" si="20"/>
        <v>523.83000000000004</v>
      </c>
      <c r="AQ6" s="48">
        <f t="shared" si="21"/>
        <v>586.08000000000004</v>
      </c>
      <c r="AR6" s="47">
        <f t="shared" si="3"/>
        <v>0.10621416871416871</v>
      </c>
      <c r="AS6" s="46">
        <f t="shared" si="22"/>
        <v>0</v>
      </c>
      <c r="AT6" s="46">
        <f t="shared" si="29"/>
        <v>4401.96</v>
      </c>
      <c r="AU6" s="46">
        <f t="shared" si="23"/>
        <v>0</v>
      </c>
      <c r="AV6" s="46">
        <f t="shared" si="24"/>
        <v>0</v>
      </c>
      <c r="AW6" s="47" t="e">
        <f t="shared" si="25"/>
        <v>#DIV/0!</v>
      </c>
      <c r="AY6" s="1" t="str">
        <f t="shared" si="4"/>
        <v>agosto2024</v>
      </c>
      <c r="AZ6" s="1" t="s">
        <v>67</v>
      </c>
      <c r="BA6" s="1">
        <v>2024</v>
      </c>
      <c r="BB6" s="59">
        <v>45299</v>
      </c>
      <c r="BC6" s="60">
        <v>4186.5</v>
      </c>
      <c r="BD6" s="60">
        <v>4050.2</v>
      </c>
      <c r="BE6" s="60">
        <v>4209.5200000000004</v>
      </c>
      <c r="BF6" s="60">
        <v>3999</v>
      </c>
      <c r="BH6" s="61">
        <v>3.4299999999999997E-2</v>
      </c>
    </row>
    <row r="7" spans="1:60" x14ac:dyDescent="0.25">
      <c r="A7" s="1" t="str">
        <f t="shared" si="0"/>
        <v>julio2024</v>
      </c>
      <c r="B7" s="1" t="s">
        <v>69</v>
      </c>
      <c r="C7" s="1">
        <v>2024</v>
      </c>
      <c r="D7" s="62">
        <v>45298</v>
      </c>
      <c r="E7" s="1">
        <v>550.80999999999995</v>
      </c>
      <c r="F7" s="1">
        <v>545.63</v>
      </c>
      <c r="G7" s="1">
        <v>565.16</v>
      </c>
      <c r="H7" s="1">
        <v>537.45000000000005</v>
      </c>
      <c r="I7" s="1" t="s">
        <v>70</v>
      </c>
      <c r="J7" s="1">
        <v>1.21E-2</v>
      </c>
      <c r="L7" s="20" t="s">
        <v>31</v>
      </c>
      <c r="M7" s="46" t="str">
        <f>'Actividades 2025'!L6</f>
        <v/>
      </c>
      <c r="N7" s="46">
        <f>VLOOKUP(_xlfn.CONCAT(L7,$M$1),'data S&amp;P500'!$AY$2:$BH$73,6,0)</f>
        <v>3917</v>
      </c>
      <c r="O7" s="46" t="e">
        <f t="shared" si="5"/>
        <v>#VALUE!</v>
      </c>
      <c r="P7" s="48">
        <f>VLOOKUP(_xlfn.CONCAT(L7,$M$1),'data S&amp;P500'!$A$2:$J$73,6,0)</f>
        <v>501.38</v>
      </c>
      <c r="Q7" s="20">
        <f t="shared" si="26"/>
        <v>586.08000000000004</v>
      </c>
      <c r="R7" s="47">
        <f t="shared" si="1"/>
        <v>0.14451951951951958</v>
      </c>
      <c r="S7" s="46" t="e">
        <f t="shared" si="6"/>
        <v>#VALUE!</v>
      </c>
      <c r="T7" s="46">
        <f t="shared" si="27"/>
        <v>4401.96</v>
      </c>
      <c r="U7" s="46" t="e">
        <f t="shared" si="7"/>
        <v>#VALUE!</v>
      </c>
      <c r="V7" s="46" t="e">
        <f t="shared" si="8"/>
        <v>#VALUE!</v>
      </c>
      <c r="W7" s="47" t="e">
        <f t="shared" si="9"/>
        <v>#VALUE!</v>
      </c>
      <c r="X7" s="20"/>
      <c r="Y7" s="20" t="s">
        <v>31</v>
      </c>
      <c r="Z7" s="49" t="e">
        <f>'Actividades 2025'!L11</f>
        <v>#VALUE!</v>
      </c>
      <c r="AA7" s="46">
        <f t="shared" si="10"/>
        <v>3917</v>
      </c>
      <c r="AB7" s="46" t="e">
        <f t="shared" si="11"/>
        <v>#VALUE!</v>
      </c>
      <c r="AC7" s="48">
        <f t="shared" si="12"/>
        <v>501.38</v>
      </c>
      <c r="AD7" s="48">
        <f t="shared" si="13"/>
        <v>586.08000000000004</v>
      </c>
      <c r="AE7" s="47">
        <f t="shared" si="2"/>
        <v>0.14451951951951958</v>
      </c>
      <c r="AF7" s="46" t="e">
        <f t="shared" si="14"/>
        <v>#VALUE!</v>
      </c>
      <c r="AG7" s="46">
        <f t="shared" si="28"/>
        <v>4401.96</v>
      </c>
      <c r="AH7" s="46" t="e">
        <f t="shared" si="15"/>
        <v>#VALUE!</v>
      </c>
      <c r="AI7" s="46" t="e">
        <f t="shared" si="16"/>
        <v>#VALUE!</v>
      </c>
      <c r="AJ7" s="47" t="e">
        <f t="shared" si="17"/>
        <v>#VALUE!</v>
      </c>
      <c r="AL7" s="20" t="s">
        <v>31</v>
      </c>
      <c r="AM7" s="49">
        <f>'Actividades 2025'!L19</f>
        <v>0</v>
      </c>
      <c r="AN7" s="46">
        <f t="shared" si="18"/>
        <v>3917</v>
      </c>
      <c r="AO7" s="46">
        <f t="shared" si="19"/>
        <v>0</v>
      </c>
      <c r="AP7" s="48">
        <f t="shared" si="20"/>
        <v>501.38</v>
      </c>
      <c r="AQ7" s="48">
        <f t="shared" si="21"/>
        <v>586.08000000000004</v>
      </c>
      <c r="AR7" s="47">
        <f t="shared" si="3"/>
        <v>0.14451951951951958</v>
      </c>
      <c r="AS7" s="46">
        <f t="shared" si="22"/>
        <v>0</v>
      </c>
      <c r="AT7" s="46">
        <f t="shared" si="29"/>
        <v>4401.96</v>
      </c>
      <c r="AU7" s="46">
        <f t="shared" si="23"/>
        <v>0</v>
      </c>
      <c r="AV7" s="46">
        <f t="shared" si="24"/>
        <v>0</v>
      </c>
      <c r="AW7" s="47" t="e">
        <f t="shared" si="25"/>
        <v>#DIV/0!</v>
      </c>
      <c r="AY7" s="1" t="str">
        <f t="shared" si="4"/>
        <v>julio2024</v>
      </c>
      <c r="AZ7" s="1" t="s">
        <v>69</v>
      </c>
      <c r="BA7" s="1">
        <v>2024</v>
      </c>
      <c r="BB7" s="59">
        <v>45298</v>
      </c>
      <c r="BC7" s="60">
        <v>4047.59</v>
      </c>
      <c r="BD7" s="60">
        <v>4148.63</v>
      </c>
      <c r="BE7" s="60">
        <v>4155.01</v>
      </c>
      <c r="BF7" s="60">
        <v>3916.13</v>
      </c>
      <c r="BH7" s="61">
        <v>-2.4400000000000002E-2</v>
      </c>
    </row>
    <row r="8" spans="1:60" x14ac:dyDescent="0.25">
      <c r="A8" s="1" t="str">
        <f t="shared" si="0"/>
        <v>junio2024</v>
      </c>
      <c r="B8" s="1" t="s">
        <v>71</v>
      </c>
      <c r="C8" s="1">
        <v>2024</v>
      </c>
      <c r="D8" s="62">
        <v>45297</v>
      </c>
      <c r="E8" s="1">
        <v>544.22</v>
      </c>
      <c r="F8" s="1">
        <v>529.02</v>
      </c>
      <c r="G8" s="1">
        <v>550.28</v>
      </c>
      <c r="H8" s="1">
        <v>522.6</v>
      </c>
      <c r="I8" s="1" t="s">
        <v>72</v>
      </c>
      <c r="J8" s="1">
        <v>3.2000000000000001E-2</v>
      </c>
      <c r="L8" s="20" t="s">
        <v>32</v>
      </c>
      <c r="M8" s="46" t="str">
        <f>'Actividades 2025'!M6</f>
        <v/>
      </c>
      <c r="N8" s="46">
        <f>VLOOKUP(_xlfn.CONCAT(L8,$M$1),'data S&amp;P500'!$AY$2:$BH$73,6,0)</f>
        <v>3874</v>
      </c>
      <c r="O8" s="46" t="e">
        <f t="shared" si="5"/>
        <v>#VALUE!</v>
      </c>
      <c r="P8" s="48">
        <f>VLOOKUP(_xlfn.CONCAT(L8,$M$1),'data S&amp;P500'!$A$2:$J$73,6,0)</f>
        <v>529.02</v>
      </c>
      <c r="Q8" s="20">
        <f t="shared" si="26"/>
        <v>586.08000000000004</v>
      </c>
      <c r="R8" s="47">
        <f t="shared" si="1"/>
        <v>9.7358722358722449E-2</v>
      </c>
      <c r="S8" s="46" t="e">
        <f t="shared" si="6"/>
        <v>#VALUE!</v>
      </c>
      <c r="T8" s="46">
        <f t="shared" si="27"/>
        <v>4401.96</v>
      </c>
      <c r="U8" s="46" t="e">
        <f t="shared" si="7"/>
        <v>#VALUE!</v>
      </c>
      <c r="V8" s="46" t="e">
        <f t="shared" si="8"/>
        <v>#VALUE!</v>
      </c>
      <c r="W8" s="47" t="e">
        <f t="shared" si="9"/>
        <v>#VALUE!</v>
      </c>
      <c r="X8" s="20"/>
      <c r="Y8" s="20" t="s">
        <v>32</v>
      </c>
      <c r="Z8" s="49" t="e">
        <f>'Actividades 2025'!M11</f>
        <v>#VALUE!</v>
      </c>
      <c r="AA8" s="46">
        <f t="shared" si="10"/>
        <v>3874</v>
      </c>
      <c r="AB8" s="46" t="e">
        <f t="shared" si="11"/>
        <v>#VALUE!</v>
      </c>
      <c r="AC8" s="48">
        <f t="shared" si="12"/>
        <v>529.02</v>
      </c>
      <c r="AD8" s="48">
        <f t="shared" si="13"/>
        <v>586.08000000000004</v>
      </c>
      <c r="AE8" s="47">
        <f t="shared" si="2"/>
        <v>9.7358722358722449E-2</v>
      </c>
      <c r="AF8" s="46" t="e">
        <f t="shared" si="14"/>
        <v>#VALUE!</v>
      </c>
      <c r="AG8" s="46">
        <f t="shared" si="28"/>
        <v>4401.96</v>
      </c>
      <c r="AH8" s="46" t="e">
        <f t="shared" si="15"/>
        <v>#VALUE!</v>
      </c>
      <c r="AI8" s="46" t="e">
        <f t="shared" si="16"/>
        <v>#VALUE!</v>
      </c>
      <c r="AJ8" s="47" t="e">
        <f t="shared" si="17"/>
        <v>#VALUE!</v>
      </c>
      <c r="AL8" s="20" t="s">
        <v>32</v>
      </c>
      <c r="AM8" s="49">
        <f>'Actividades 2025'!M19</f>
        <v>0</v>
      </c>
      <c r="AN8" s="46">
        <f t="shared" si="18"/>
        <v>3874</v>
      </c>
      <c r="AO8" s="46">
        <f t="shared" si="19"/>
        <v>0</v>
      </c>
      <c r="AP8" s="48">
        <f t="shared" si="20"/>
        <v>529.02</v>
      </c>
      <c r="AQ8" s="48">
        <f t="shared" si="21"/>
        <v>586.08000000000004</v>
      </c>
      <c r="AR8" s="47">
        <f t="shared" si="3"/>
        <v>9.7358722358722449E-2</v>
      </c>
      <c r="AS8" s="46">
        <f t="shared" si="22"/>
        <v>0</v>
      </c>
      <c r="AT8" s="46">
        <f t="shared" si="29"/>
        <v>4401.96</v>
      </c>
      <c r="AU8" s="46">
        <f t="shared" si="23"/>
        <v>0</v>
      </c>
      <c r="AV8" s="46">
        <f t="shared" si="24"/>
        <v>0</v>
      </c>
      <c r="AW8" s="47" t="e">
        <f t="shared" si="25"/>
        <v>#DIV/0!</v>
      </c>
      <c r="AY8" s="1" t="str">
        <f t="shared" si="4"/>
        <v>junio2024</v>
      </c>
      <c r="AZ8" s="1" t="s">
        <v>71</v>
      </c>
      <c r="BA8" s="1">
        <v>2024</v>
      </c>
      <c r="BB8" s="59">
        <v>45297</v>
      </c>
      <c r="BC8" s="60">
        <v>4148.6499999999996</v>
      </c>
      <c r="BD8" s="60">
        <v>3874</v>
      </c>
      <c r="BE8" s="60">
        <v>4191.5</v>
      </c>
      <c r="BF8" s="60">
        <v>3854.07</v>
      </c>
      <c r="BH8" s="61">
        <v>7.6100000000000001E-2</v>
      </c>
    </row>
    <row r="9" spans="1:60" x14ac:dyDescent="0.25">
      <c r="A9" s="1" t="str">
        <f t="shared" si="0"/>
        <v>mayo2024</v>
      </c>
      <c r="B9" s="1" t="s">
        <v>73</v>
      </c>
      <c r="C9" s="1">
        <v>2024</v>
      </c>
      <c r="D9" s="62">
        <v>45296</v>
      </c>
      <c r="E9" s="1">
        <v>527.37</v>
      </c>
      <c r="F9" s="1">
        <v>501.38</v>
      </c>
      <c r="G9" s="1">
        <v>533.07000000000005</v>
      </c>
      <c r="H9" s="1">
        <v>499.55</v>
      </c>
      <c r="I9" s="1" t="s">
        <v>74</v>
      </c>
      <c r="J9" s="1">
        <v>5.0599999999999999E-2</v>
      </c>
      <c r="L9" s="20" t="s">
        <v>33</v>
      </c>
      <c r="M9" s="46" t="str">
        <f>'Actividades 2025'!N6</f>
        <v/>
      </c>
      <c r="N9" s="46">
        <f>VLOOKUP(_xlfn.CONCAT(L9,$M$1),'data S&amp;P500'!$AY$2:$BH$73,6,0)</f>
        <v>4148.63</v>
      </c>
      <c r="O9" s="46" t="e">
        <f t="shared" si="5"/>
        <v>#VALUE!</v>
      </c>
      <c r="P9" s="48">
        <f>VLOOKUP(_xlfn.CONCAT(L9,$M$1),'data S&amp;P500'!$A$2:$J$73,6,0)</f>
        <v>545.63</v>
      </c>
      <c r="Q9" s="20">
        <f t="shared" si="26"/>
        <v>586.08000000000004</v>
      </c>
      <c r="R9" s="47">
        <f t="shared" si="1"/>
        <v>6.9017881517881588E-2</v>
      </c>
      <c r="S9" s="46" t="e">
        <f t="shared" si="6"/>
        <v>#VALUE!</v>
      </c>
      <c r="T9" s="46">
        <f t="shared" si="27"/>
        <v>4401.96</v>
      </c>
      <c r="U9" s="46" t="e">
        <f t="shared" si="7"/>
        <v>#VALUE!</v>
      </c>
      <c r="V9" s="46" t="e">
        <f t="shared" si="8"/>
        <v>#VALUE!</v>
      </c>
      <c r="W9" s="47" t="e">
        <f t="shared" si="9"/>
        <v>#VALUE!</v>
      </c>
      <c r="X9" s="20"/>
      <c r="Y9" s="20" t="s">
        <v>33</v>
      </c>
      <c r="Z9" s="49" t="e">
        <f>'Actividades 2025'!N11</f>
        <v>#VALUE!</v>
      </c>
      <c r="AA9" s="46">
        <f t="shared" si="10"/>
        <v>4148.63</v>
      </c>
      <c r="AB9" s="46" t="e">
        <f t="shared" si="11"/>
        <v>#VALUE!</v>
      </c>
      <c r="AC9" s="48">
        <f t="shared" si="12"/>
        <v>545.63</v>
      </c>
      <c r="AD9" s="48">
        <f t="shared" si="13"/>
        <v>586.08000000000004</v>
      </c>
      <c r="AE9" s="47">
        <f t="shared" si="2"/>
        <v>6.9017881517881588E-2</v>
      </c>
      <c r="AF9" s="46" t="e">
        <f t="shared" si="14"/>
        <v>#VALUE!</v>
      </c>
      <c r="AG9" s="46">
        <f t="shared" si="28"/>
        <v>4401.96</v>
      </c>
      <c r="AH9" s="46" t="e">
        <f t="shared" si="15"/>
        <v>#VALUE!</v>
      </c>
      <c r="AI9" s="46" t="e">
        <f t="shared" si="16"/>
        <v>#VALUE!</v>
      </c>
      <c r="AJ9" s="47" t="e">
        <f t="shared" si="17"/>
        <v>#VALUE!</v>
      </c>
      <c r="AL9" s="20" t="s">
        <v>33</v>
      </c>
      <c r="AM9" s="49">
        <f>'Actividades 2025'!N19</f>
        <v>0</v>
      </c>
      <c r="AN9" s="46">
        <f t="shared" si="18"/>
        <v>4148.63</v>
      </c>
      <c r="AO9" s="46">
        <f t="shared" si="19"/>
        <v>0</v>
      </c>
      <c r="AP9" s="48">
        <f t="shared" si="20"/>
        <v>545.63</v>
      </c>
      <c r="AQ9" s="48">
        <f t="shared" si="21"/>
        <v>586.08000000000004</v>
      </c>
      <c r="AR9" s="47">
        <f t="shared" si="3"/>
        <v>6.9017881517881588E-2</v>
      </c>
      <c r="AS9" s="46">
        <f t="shared" si="22"/>
        <v>0</v>
      </c>
      <c r="AT9" s="46">
        <f t="shared" si="29"/>
        <v>4401.96</v>
      </c>
      <c r="AU9" s="46">
        <f t="shared" si="23"/>
        <v>0</v>
      </c>
      <c r="AV9" s="46">
        <f t="shared" si="24"/>
        <v>0</v>
      </c>
      <c r="AW9" s="47" t="e">
        <f t="shared" si="25"/>
        <v>#DIV/0!</v>
      </c>
      <c r="AY9" s="1" t="str">
        <f t="shared" si="4"/>
        <v>mayo2024</v>
      </c>
      <c r="AZ9" s="1" t="s">
        <v>73</v>
      </c>
      <c r="BA9" s="1">
        <v>2024</v>
      </c>
      <c r="BB9" s="59">
        <v>45296</v>
      </c>
      <c r="BC9" s="60">
        <v>3855.16</v>
      </c>
      <c r="BD9" s="60">
        <v>3917</v>
      </c>
      <c r="BE9" s="60">
        <v>3924.22</v>
      </c>
      <c r="BF9" s="60">
        <v>3807.69</v>
      </c>
      <c r="BH9" s="61">
        <v>-1.67E-2</v>
      </c>
    </row>
    <row r="10" spans="1:60" x14ac:dyDescent="0.25">
      <c r="A10" s="1" t="str">
        <f t="shared" si="0"/>
        <v>abril2024</v>
      </c>
      <c r="B10" s="1" t="s">
        <v>75</v>
      </c>
      <c r="C10" s="1">
        <v>2024</v>
      </c>
      <c r="D10" s="62">
        <v>45295</v>
      </c>
      <c r="E10" s="1">
        <v>501.98</v>
      </c>
      <c r="F10" s="1">
        <v>523.83000000000004</v>
      </c>
      <c r="G10" s="1">
        <v>524.38</v>
      </c>
      <c r="H10" s="1">
        <v>493.86</v>
      </c>
      <c r="I10" s="1" t="s">
        <v>76</v>
      </c>
      <c r="J10" s="1">
        <v>-4.0300000000000002E-2</v>
      </c>
      <c r="L10" s="20" t="s">
        <v>34</v>
      </c>
      <c r="M10" s="46" t="str">
        <f>'Actividades 2025'!O6</f>
        <v/>
      </c>
      <c r="N10" s="46">
        <f>VLOOKUP(_xlfn.CONCAT(L10,$M$1),'data S&amp;P500'!$AY$2:$BH$73,6,0)</f>
        <v>4050.2</v>
      </c>
      <c r="O10" s="46" t="e">
        <f t="shared" si="5"/>
        <v>#VALUE!</v>
      </c>
      <c r="P10" s="48">
        <f>VLOOKUP(_xlfn.CONCAT(L10,$M$1),'data S&amp;P500'!$A$2:$J$73,6,0)</f>
        <v>552.57000000000005</v>
      </c>
      <c r="Q10" s="20">
        <f t="shared" si="26"/>
        <v>586.08000000000004</v>
      </c>
      <c r="R10" s="47">
        <f t="shared" si="1"/>
        <v>5.717649467649466E-2</v>
      </c>
      <c r="S10" s="46" t="e">
        <f t="shared" si="6"/>
        <v>#VALUE!</v>
      </c>
      <c r="T10" s="46">
        <f t="shared" si="27"/>
        <v>4401.96</v>
      </c>
      <c r="U10" s="46" t="e">
        <f t="shared" si="7"/>
        <v>#VALUE!</v>
      </c>
      <c r="V10" s="46" t="e">
        <f t="shared" si="8"/>
        <v>#VALUE!</v>
      </c>
      <c r="W10" s="47" t="e">
        <f t="shared" si="9"/>
        <v>#VALUE!</v>
      </c>
      <c r="X10" s="20"/>
      <c r="Y10" s="20" t="s">
        <v>34</v>
      </c>
      <c r="Z10" s="49" t="e">
        <f>'Actividades 2025'!O11</f>
        <v>#VALUE!</v>
      </c>
      <c r="AA10" s="46">
        <f t="shared" si="10"/>
        <v>4050.2</v>
      </c>
      <c r="AB10" s="46" t="e">
        <f t="shared" si="11"/>
        <v>#VALUE!</v>
      </c>
      <c r="AC10" s="48">
        <f t="shared" si="12"/>
        <v>552.57000000000005</v>
      </c>
      <c r="AD10" s="48">
        <f t="shared" si="13"/>
        <v>586.08000000000004</v>
      </c>
      <c r="AE10" s="47">
        <f t="shared" si="2"/>
        <v>5.717649467649466E-2</v>
      </c>
      <c r="AF10" s="46" t="e">
        <f t="shared" si="14"/>
        <v>#VALUE!</v>
      </c>
      <c r="AG10" s="46">
        <f t="shared" si="28"/>
        <v>4401.96</v>
      </c>
      <c r="AH10" s="46" t="e">
        <f t="shared" si="15"/>
        <v>#VALUE!</v>
      </c>
      <c r="AI10" s="46" t="e">
        <f t="shared" si="16"/>
        <v>#VALUE!</v>
      </c>
      <c r="AJ10" s="47" t="e">
        <f t="shared" si="17"/>
        <v>#VALUE!</v>
      </c>
      <c r="AL10" s="20" t="s">
        <v>34</v>
      </c>
      <c r="AM10" s="49">
        <f>'Actividades 2025'!O19</f>
        <v>0</v>
      </c>
      <c r="AN10" s="46">
        <f t="shared" si="18"/>
        <v>4050.2</v>
      </c>
      <c r="AO10" s="46">
        <f t="shared" si="19"/>
        <v>0</v>
      </c>
      <c r="AP10" s="48">
        <f t="shared" si="20"/>
        <v>552.57000000000005</v>
      </c>
      <c r="AQ10" s="48">
        <f t="shared" si="21"/>
        <v>586.08000000000004</v>
      </c>
      <c r="AR10" s="47">
        <f t="shared" si="3"/>
        <v>5.717649467649466E-2</v>
      </c>
      <c r="AS10" s="46">
        <f t="shared" si="22"/>
        <v>0</v>
      </c>
      <c r="AT10" s="46">
        <f t="shared" si="29"/>
        <v>4401.96</v>
      </c>
      <c r="AU10" s="46">
        <f t="shared" si="23"/>
        <v>0</v>
      </c>
      <c r="AV10" s="46">
        <f t="shared" si="24"/>
        <v>0</v>
      </c>
      <c r="AW10" s="47" t="e">
        <f t="shared" si="25"/>
        <v>#DIV/0!</v>
      </c>
      <c r="AY10" s="1" t="str">
        <f t="shared" si="4"/>
        <v>abril2024</v>
      </c>
      <c r="AZ10" s="1" t="s">
        <v>75</v>
      </c>
      <c r="BA10" s="1">
        <v>2024</v>
      </c>
      <c r="BB10" s="59">
        <v>45295</v>
      </c>
      <c r="BC10" s="60">
        <v>3920.5</v>
      </c>
      <c r="BD10" s="60">
        <v>3861.2</v>
      </c>
      <c r="BE10" s="60">
        <v>3974.3</v>
      </c>
      <c r="BF10" s="60">
        <v>3740.25</v>
      </c>
      <c r="BH10" s="61">
        <v>1.6500000000000001E-2</v>
      </c>
    </row>
    <row r="11" spans="1:60" x14ac:dyDescent="0.25">
      <c r="A11" s="1" t="str">
        <f t="shared" si="0"/>
        <v>marzo2024</v>
      </c>
      <c r="B11" s="1" t="s">
        <v>77</v>
      </c>
      <c r="C11" s="1">
        <v>2024</v>
      </c>
      <c r="D11" s="62">
        <v>45294</v>
      </c>
      <c r="E11" s="1">
        <v>523.07000000000005</v>
      </c>
      <c r="F11" s="1">
        <v>508.98</v>
      </c>
      <c r="G11" s="1">
        <v>524.61</v>
      </c>
      <c r="H11" s="1">
        <v>504.91</v>
      </c>
      <c r="I11" s="1" t="s">
        <v>78</v>
      </c>
      <c r="J11" s="1">
        <v>2.9499999999999998E-2</v>
      </c>
      <c r="L11" s="20" t="s">
        <v>35</v>
      </c>
      <c r="M11" s="46" t="str">
        <f>'Actividades 2025'!P6</f>
        <v/>
      </c>
      <c r="N11" s="46">
        <f>VLOOKUP(_xlfn.CONCAT(L11,$M$1),'data S&amp;P500'!$AY$2:$BH$73,6,0)</f>
        <v>4172.5</v>
      </c>
      <c r="O11" s="46" t="e">
        <f t="shared" si="5"/>
        <v>#VALUE!</v>
      </c>
      <c r="P11" s="48">
        <f>VLOOKUP(_xlfn.CONCAT(L11,$M$1),'data S&amp;P500'!$A$2:$J$73,6,0)</f>
        <v>560.47</v>
      </c>
      <c r="Q11" s="20">
        <f t="shared" si="26"/>
        <v>586.08000000000004</v>
      </c>
      <c r="R11" s="47">
        <f t="shared" si="1"/>
        <v>4.369710619710622E-2</v>
      </c>
      <c r="S11" s="46" t="e">
        <f t="shared" si="6"/>
        <v>#VALUE!</v>
      </c>
      <c r="T11" s="46">
        <f t="shared" si="27"/>
        <v>4401.96</v>
      </c>
      <c r="U11" s="46" t="e">
        <f t="shared" si="7"/>
        <v>#VALUE!</v>
      </c>
      <c r="V11" s="46" t="e">
        <f t="shared" si="8"/>
        <v>#VALUE!</v>
      </c>
      <c r="W11" s="47" t="e">
        <f t="shared" si="9"/>
        <v>#VALUE!</v>
      </c>
      <c r="X11" s="20"/>
      <c r="Y11" s="20" t="s">
        <v>35</v>
      </c>
      <c r="Z11" s="49" t="e">
        <f>'Actividades 2025'!P11</f>
        <v>#VALUE!</v>
      </c>
      <c r="AA11" s="46">
        <f t="shared" si="10"/>
        <v>4172.5</v>
      </c>
      <c r="AB11" s="46" t="e">
        <f t="shared" si="11"/>
        <v>#VALUE!</v>
      </c>
      <c r="AC11" s="48">
        <f t="shared" si="12"/>
        <v>560.47</v>
      </c>
      <c r="AD11" s="48">
        <f t="shared" si="13"/>
        <v>586.08000000000004</v>
      </c>
      <c r="AE11" s="47">
        <f t="shared" si="2"/>
        <v>4.369710619710622E-2</v>
      </c>
      <c r="AF11" s="46" t="e">
        <f t="shared" si="14"/>
        <v>#VALUE!</v>
      </c>
      <c r="AG11" s="46">
        <f t="shared" si="28"/>
        <v>4401.96</v>
      </c>
      <c r="AH11" s="46" t="e">
        <f t="shared" si="15"/>
        <v>#VALUE!</v>
      </c>
      <c r="AI11" s="46" t="e">
        <f t="shared" si="16"/>
        <v>#VALUE!</v>
      </c>
      <c r="AJ11" s="47" t="e">
        <f t="shared" si="17"/>
        <v>#VALUE!</v>
      </c>
      <c r="AL11" s="20" t="s">
        <v>35</v>
      </c>
      <c r="AM11" s="49">
        <f>'Actividades 2025'!P19</f>
        <v>0</v>
      </c>
      <c r="AN11" s="46">
        <f t="shared" si="18"/>
        <v>4172.5</v>
      </c>
      <c r="AO11" s="46">
        <f t="shared" si="19"/>
        <v>0</v>
      </c>
      <c r="AP11" s="48">
        <f t="shared" si="20"/>
        <v>560.47</v>
      </c>
      <c r="AQ11" s="48">
        <f t="shared" si="21"/>
        <v>586.08000000000004</v>
      </c>
      <c r="AR11" s="47">
        <f t="shared" si="3"/>
        <v>4.369710619710622E-2</v>
      </c>
      <c r="AS11" s="46">
        <f t="shared" si="22"/>
        <v>0</v>
      </c>
      <c r="AT11" s="46">
        <f t="shared" si="29"/>
        <v>4401.96</v>
      </c>
      <c r="AU11" s="46">
        <f t="shared" si="23"/>
        <v>0</v>
      </c>
      <c r="AV11" s="46">
        <f t="shared" si="24"/>
        <v>0</v>
      </c>
      <c r="AW11" s="47" t="e">
        <f t="shared" si="25"/>
        <v>#DIV/0!</v>
      </c>
      <c r="AY11" s="1" t="str">
        <f t="shared" si="4"/>
        <v>marzo2024</v>
      </c>
      <c r="AZ11" s="1" t="s">
        <v>77</v>
      </c>
      <c r="BA11" s="1">
        <v>2024</v>
      </c>
      <c r="BB11" s="59">
        <v>45294</v>
      </c>
      <c r="BC11" s="60">
        <v>3857</v>
      </c>
      <c r="BD11" s="60">
        <v>3925.76</v>
      </c>
      <c r="BE11" s="60">
        <v>3964.35</v>
      </c>
      <c r="BF11" s="60">
        <v>3827.58</v>
      </c>
      <c r="BH11" s="61">
        <v>-1.6199999999999999E-2</v>
      </c>
    </row>
    <row r="12" spans="1:60" x14ac:dyDescent="0.25">
      <c r="A12" s="1" t="str">
        <f t="shared" si="0"/>
        <v>febrero2024</v>
      </c>
      <c r="B12" s="1" t="s">
        <v>79</v>
      </c>
      <c r="C12" s="1">
        <v>2024</v>
      </c>
      <c r="D12" s="62">
        <v>45293</v>
      </c>
      <c r="E12" s="1">
        <v>508.08</v>
      </c>
      <c r="F12" s="1">
        <v>484.63</v>
      </c>
      <c r="G12" s="1">
        <v>510.13</v>
      </c>
      <c r="H12" s="1">
        <v>483.8</v>
      </c>
      <c r="I12" s="1" t="s">
        <v>80</v>
      </c>
      <c r="J12" s="1">
        <v>5.2200000000000003E-2</v>
      </c>
      <c r="L12" s="20" t="s">
        <v>36</v>
      </c>
      <c r="M12" s="46" t="str">
        <f>'Actividades 2025'!Q6</f>
        <v/>
      </c>
      <c r="N12" s="46">
        <f>VLOOKUP(_xlfn.CONCAT(L12,$M$1),'data S&amp;P500'!$AY$2:$BH$73,6,0)</f>
        <v>4209.5</v>
      </c>
      <c r="O12" s="46" t="e">
        <f t="shared" si="5"/>
        <v>#VALUE!</v>
      </c>
      <c r="P12" s="48">
        <f>VLOOKUP(_xlfn.CONCAT(L12,$M$1),'data S&amp;P500'!$A$2:$J$73,6,0)</f>
        <v>573.4</v>
      </c>
      <c r="Q12" s="20">
        <f t="shared" si="26"/>
        <v>586.08000000000004</v>
      </c>
      <c r="R12" s="47">
        <f t="shared" si="1"/>
        <v>2.1635271635271743E-2</v>
      </c>
      <c r="S12" s="46" t="e">
        <f t="shared" si="6"/>
        <v>#VALUE!</v>
      </c>
      <c r="T12" s="46">
        <f t="shared" si="27"/>
        <v>4401.96</v>
      </c>
      <c r="U12" s="46" t="e">
        <f t="shared" si="7"/>
        <v>#VALUE!</v>
      </c>
      <c r="V12" s="46" t="e">
        <f t="shared" si="8"/>
        <v>#VALUE!</v>
      </c>
      <c r="W12" s="47" t="e">
        <f t="shared" si="9"/>
        <v>#VALUE!</v>
      </c>
      <c r="X12" s="20"/>
      <c r="Y12" s="20" t="s">
        <v>36</v>
      </c>
      <c r="Z12" s="49" t="e">
        <f>'Actividades 2025'!Q11</f>
        <v>#VALUE!</v>
      </c>
      <c r="AA12" s="46">
        <f t="shared" si="10"/>
        <v>4209.5</v>
      </c>
      <c r="AB12" s="46" t="e">
        <f t="shared" si="11"/>
        <v>#VALUE!</v>
      </c>
      <c r="AC12" s="48">
        <f t="shared" si="12"/>
        <v>573.4</v>
      </c>
      <c r="AD12" s="48">
        <f t="shared" si="13"/>
        <v>586.08000000000004</v>
      </c>
      <c r="AE12" s="47">
        <f t="shared" si="2"/>
        <v>2.1635271635271743E-2</v>
      </c>
      <c r="AF12" s="46" t="e">
        <f t="shared" si="14"/>
        <v>#VALUE!</v>
      </c>
      <c r="AG12" s="46">
        <f t="shared" si="28"/>
        <v>4401.96</v>
      </c>
      <c r="AH12" s="46" t="e">
        <f t="shared" si="15"/>
        <v>#VALUE!</v>
      </c>
      <c r="AI12" s="46" t="e">
        <f t="shared" si="16"/>
        <v>#VALUE!</v>
      </c>
      <c r="AJ12" s="47" t="e">
        <f t="shared" si="17"/>
        <v>#VALUE!</v>
      </c>
      <c r="AL12" s="20" t="s">
        <v>36</v>
      </c>
      <c r="AM12" s="49">
        <f>'Actividades 2025'!Q19</f>
        <v>0</v>
      </c>
      <c r="AN12" s="46">
        <f t="shared" si="18"/>
        <v>4209.5</v>
      </c>
      <c r="AO12" s="46">
        <f t="shared" si="19"/>
        <v>0</v>
      </c>
      <c r="AP12" s="48">
        <f t="shared" si="20"/>
        <v>573.4</v>
      </c>
      <c r="AQ12" s="48">
        <f t="shared" si="21"/>
        <v>586.08000000000004</v>
      </c>
      <c r="AR12" s="47">
        <f t="shared" si="3"/>
        <v>2.1635271635271743E-2</v>
      </c>
      <c r="AS12" s="46">
        <f t="shared" si="22"/>
        <v>0</v>
      </c>
      <c r="AT12" s="46">
        <f t="shared" si="29"/>
        <v>4401.96</v>
      </c>
      <c r="AU12" s="46">
        <f t="shared" si="23"/>
        <v>0</v>
      </c>
      <c r="AV12" s="46">
        <f t="shared" si="24"/>
        <v>0</v>
      </c>
      <c r="AW12" s="47" t="e">
        <f t="shared" si="25"/>
        <v>#DIV/0!</v>
      </c>
      <c r="AY12" s="1" t="str">
        <f t="shared" si="4"/>
        <v>febrero2024</v>
      </c>
      <c r="AZ12" s="1" t="s">
        <v>79</v>
      </c>
      <c r="BA12" s="1">
        <v>2024</v>
      </c>
      <c r="BB12" s="59">
        <v>45293</v>
      </c>
      <c r="BC12" s="60">
        <v>3920.51</v>
      </c>
      <c r="BD12" s="60">
        <v>3915.05</v>
      </c>
      <c r="BE12" s="60">
        <v>3985.26</v>
      </c>
      <c r="BF12" s="60">
        <v>3879.07</v>
      </c>
      <c r="BH12" s="61">
        <v>6.4000000000000003E-3</v>
      </c>
    </row>
    <row r="13" spans="1:60" x14ac:dyDescent="0.25">
      <c r="A13" s="1" t="str">
        <f t="shared" si="0"/>
        <v>enero2024</v>
      </c>
      <c r="B13" s="1" t="s">
        <v>81</v>
      </c>
      <c r="C13" s="1">
        <v>2024</v>
      </c>
      <c r="D13" s="62">
        <v>45292</v>
      </c>
      <c r="E13" s="1">
        <v>482.88</v>
      </c>
      <c r="F13" s="1">
        <v>472.16</v>
      </c>
      <c r="G13" s="1">
        <v>491.62</v>
      </c>
      <c r="H13" s="1">
        <v>466.43</v>
      </c>
      <c r="I13" s="1" t="s">
        <v>82</v>
      </c>
      <c r="J13" s="1">
        <v>1.5900000000000001E-2</v>
      </c>
      <c r="L13" s="20" t="s">
        <v>37</v>
      </c>
      <c r="M13" s="46" t="str">
        <f>'Actividades 2025'!R6</f>
        <v/>
      </c>
      <c r="N13" s="46">
        <f>VLOOKUP(_xlfn.CONCAT(L13,$M$1),'data S&amp;P500'!$AY$2:$BH$73,6,0)</f>
        <v>4427.8</v>
      </c>
      <c r="O13" s="46" t="e">
        <f t="shared" si="5"/>
        <v>#VALUE!</v>
      </c>
      <c r="P13" s="48">
        <f>VLOOKUP(_xlfn.CONCAT(L13,$M$1),'data S&amp;P500'!$A$2:$J$73,6,0)</f>
        <v>571.32000000000005</v>
      </c>
      <c r="Q13" s="20">
        <f t="shared" si="26"/>
        <v>586.08000000000004</v>
      </c>
      <c r="R13" s="47">
        <f t="shared" si="1"/>
        <v>2.5184275184275167E-2</v>
      </c>
      <c r="S13" s="46" t="e">
        <f t="shared" si="6"/>
        <v>#VALUE!</v>
      </c>
      <c r="T13" s="46">
        <f t="shared" si="27"/>
        <v>4401.96</v>
      </c>
      <c r="U13" s="46" t="e">
        <f t="shared" si="7"/>
        <v>#VALUE!</v>
      </c>
      <c r="V13" s="46" t="e">
        <f t="shared" si="8"/>
        <v>#VALUE!</v>
      </c>
      <c r="W13" s="47" t="e">
        <f t="shared" si="9"/>
        <v>#VALUE!</v>
      </c>
      <c r="X13" s="20"/>
      <c r="Y13" s="20" t="s">
        <v>37</v>
      </c>
      <c r="Z13" s="49" t="e">
        <f>'Actividades 2025'!R11</f>
        <v>#VALUE!</v>
      </c>
      <c r="AA13" s="46">
        <f t="shared" si="10"/>
        <v>4427.8</v>
      </c>
      <c r="AB13" s="46" t="e">
        <f t="shared" si="11"/>
        <v>#VALUE!</v>
      </c>
      <c r="AC13" s="48">
        <f t="shared" si="12"/>
        <v>571.32000000000005</v>
      </c>
      <c r="AD13" s="48">
        <f t="shared" si="13"/>
        <v>586.08000000000004</v>
      </c>
      <c r="AE13" s="47">
        <f t="shared" si="2"/>
        <v>2.5184275184275167E-2</v>
      </c>
      <c r="AF13" s="46" t="e">
        <f t="shared" si="14"/>
        <v>#VALUE!</v>
      </c>
      <c r="AG13" s="46">
        <f t="shared" si="28"/>
        <v>4401.96</v>
      </c>
      <c r="AH13" s="46" t="e">
        <f t="shared" si="15"/>
        <v>#VALUE!</v>
      </c>
      <c r="AI13" s="46" t="e">
        <f t="shared" si="16"/>
        <v>#VALUE!</v>
      </c>
      <c r="AJ13" s="47" t="e">
        <f t="shared" si="17"/>
        <v>#VALUE!</v>
      </c>
      <c r="AL13" s="20" t="s">
        <v>37</v>
      </c>
      <c r="AM13" s="49">
        <f>'Actividades 2025'!R19</f>
        <v>0</v>
      </c>
      <c r="AN13" s="46">
        <f t="shared" si="18"/>
        <v>4427.8</v>
      </c>
      <c r="AO13" s="46">
        <f t="shared" si="19"/>
        <v>0</v>
      </c>
      <c r="AP13" s="48">
        <f t="shared" si="20"/>
        <v>571.32000000000005</v>
      </c>
      <c r="AQ13" s="48">
        <f t="shared" si="21"/>
        <v>586.08000000000004</v>
      </c>
      <c r="AR13" s="47">
        <f t="shared" si="3"/>
        <v>2.5184275184275167E-2</v>
      </c>
      <c r="AS13" s="46">
        <f t="shared" si="22"/>
        <v>0</v>
      </c>
      <c r="AT13" s="46">
        <f t="shared" si="29"/>
        <v>4401.96</v>
      </c>
      <c r="AU13" s="46">
        <f t="shared" si="23"/>
        <v>0</v>
      </c>
      <c r="AV13" s="46">
        <f t="shared" si="24"/>
        <v>0</v>
      </c>
      <c r="AW13" s="47" t="e">
        <f t="shared" si="25"/>
        <v>#DIV/0!</v>
      </c>
      <c r="AY13" s="1" t="str">
        <f t="shared" si="4"/>
        <v>enero2024</v>
      </c>
      <c r="AZ13" s="1" t="s">
        <v>81</v>
      </c>
      <c r="BA13" s="1">
        <v>2024</v>
      </c>
      <c r="BB13" s="59">
        <v>45292</v>
      </c>
      <c r="BC13" s="60">
        <v>3895.5</v>
      </c>
      <c r="BD13" s="60">
        <v>3872.5</v>
      </c>
      <c r="BE13" s="60">
        <v>3986.2</v>
      </c>
      <c r="BF13" s="60">
        <v>3865.94</v>
      </c>
      <c r="BH13" s="61">
        <v>5.8999999999999999E-3</v>
      </c>
    </row>
    <row r="14" spans="1:60" x14ac:dyDescent="0.25">
      <c r="A14" s="1" t="str">
        <f t="shared" si="0"/>
        <v>diciembre2023</v>
      </c>
      <c r="B14" s="1" t="s">
        <v>59</v>
      </c>
      <c r="C14" s="1">
        <v>2023</v>
      </c>
      <c r="D14" s="62">
        <v>44938</v>
      </c>
      <c r="E14" s="1">
        <v>475.31</v>
      </c>
      <c r="F14" s="1">
        <v>455.77</v>
      </c>
      <c r="G14" s="1">
        <v>477.55</v>
      </c>
      <c r="H14" s="1">
        <v>454.31</v>
      </c>
      <c r="I14" s="1" t="s">
        <v>83</v>
      </c>
      <c r="J14" s="1">
        <v>4.1399999999999999E-2</v>
      </c>
      <c r="L14" s="20" t="s">
        <v>38</v>
      </c>
      <c r="M14" s="46" t="str">
        <f>'Actividades 2025'!S6</f>
        <v/>
      </c>
      <c r="N14" s="46">
        <f>VLOOKUP(_xlfn.CONCAT(L14,$M$1),'data S&amp;P500'!$AY$2:$BH$73,6,0)</f>
        <v>4432.9799999999996</v>
      </c>
      <c r="O14" s="46" t="e">
        <f t="shared" si="5"/>
        <v>#VALUE!</v>
      </c>
      <c r="P14" s="48">
        <f>VLOOKUP(_xlfn.CONCAT(L14,$M$1),'data S&amp;P500'!$A$2:$J$73,6,0)</f>
        <v>602.97</v>
      </c>
      <c r="Q14" s="20">
        <f t="shared" si="26"/>
        <v>586.08000000000004</v>
      </c>
      <c r="R14" s="47">
        <f t="shared" si="1"/>
        <v>-2.8818591318591293E-2</v>
      </c>
      <c r="S14" s="46" t="e">
        <f t="shared" si="6"/>
        <v>#VALUE!</v>
      </c>
      <c r="T14" s="46">
        <f t="shared" si="27"/>
        <v>4401.96</v>
      </c>
      <c r="U14" s="46" t="e">
        <f t="shared" si="7"/>
        <v>#VALUE!</v>
      </c>
      <c r="V14" s="46" t="e">
        <f t="shared" si="8"/>
        <v>#VALUE!</v>
      </c>
      <c r="W14" s="47" t="e">
        <f t="shared" si="9"/>
        <v>#VALUE!</v>
      </c>
      <c r="X14" s="20"/>
      <c r="Y14" s="20" t="s">
        <v>38</v>
      </c>
      <c r="Z14" s="49" t="e">
        <f>'Actividades 2025'!S11</f>
        <v>#VALUE!</v>
      </c>
      <c r="AA14" s="46">
        <f t="shared" si="10"/>
        <v>4432.9799999999996</v>
      </c>
      <c r="AB14" s="46" t="e">
        <f t="shared" si="11"/>
        <v>#VALUE!</v>
      </c>
      <c r="AC14" s="48">
        <f t="shared" si="12"/>
        <v>602.97</v>
      </c>
      <c r="AD14" s="48">
        <f t="shared" si="13"/>
        <v>586.08000000000004</v>
      </c>
      <c r="AE14" s="47">
        <f t="shared" si="2"/>
        <v>-2.8818591318591293E-2</v>
      </c>
      <c r="AF14" s="46" t="e">
        <f t="shared" si="14"/>
        <v>#VALUE!</v>
      </c>
      <c r="AG14" s="46">
        <f t="shared" si="28"/>
        <v>4401.96</v>
      </c>
      <c r="AH14" s="46" t="e">
        <f t="shared" si="15"/>
        <v>#VALUE!</v>
      </c>
      <c r="AI14" s="46" t="e">
        <f t="shared" si="16"/>
        <v>#VALUE!</v>
      </c>
      <c r="AJ14" s="47" t="e">
        <f t="shared" si="17"/>
        <v>#VALUE!</v>
      </c>
      <c r="AL14" s="20" t="s">
        <v>38</v>
      </c>
      <c r="AM14" s="49">
        <f>'Actividades 2025'!S19</f>
        <v>0</v>
      </c>
      <c r="AN14" s="46">
        <f t="shared" si="18"/>
        <v>4432.9799999999996</v>
      </c>
      <c r="AO14" s="46">
        <f t="shared" si="19"/>
        <v>0</v>
      </c>
      <c r="AP14" s="48">
        <f t="shared" si="20"/>
        <v>602.97</v>
      </c>
      <c r="AQ14" s="48">
        <f t="shared" si="21"/>
        <v>586.08000000000004</v>
      </c>
      <c r="AR14" s="47">
        <f t="shared" si="3"/>
        <v>-2.8818591318591293E-2</v>
      </c>
      <c r="AS14" s="46">
        <f t="shared" si="22"/>
        <v>0</v>
      </c>
      <c r="AT14" s="46">
        <f t="shared" si="29"/>
        <v>4401.96</v>
      </c>
      <c r="AU14" s="46">
        <f t="shared" si="23"/>
        <v>0</v>
      </c>
      <c r="AV14" s="46">
        <f t="shared" si="24"/>
        <v>0</v>
      </c>
      <c r="AW14" s="47" t="e">
        <f t="shared" si="25"/>
        <v>#DIV/0!</v>
      </c>
      <c r="AY14" s="1" t="str">
        <f t="shared" si="4"/>
        <v>diciembre2023</v>
      </c>
      <c r="AZ14" s="1" t="s">
        <v>59</v>
      </c>
      <c r="BA14" s="1">
        <v>2023</v>
      </c>
      <c r="BB14" s="59">
        <v>44938</v>
      </c>
      <c r="BC14" s="60">
        <v>3872.59</v>
      </c>
      <c r="BD14" s="60">
        <v>4030.3</v>
      </c>
      <c r="BE14" s="60">
        <v>4043.5</v>
      </c>
      <c r="BF14" s="60">
        <v>3807</v>
      </c>
      <c r="BH14" s="61">
        <v>-3.3700000000000001E-2</v>
      </c>
    </row>
    <row r="15" spans="1:60" x14ac:dyDescent="0.25">
      <c r="A15" s="1" t="str">
        <f t="shared" si="0"/>
        <v>noviembre2023</v>
      </c>
      <c r="B15" s="1" t="s">
        <v>61</v>
      </c>
      <c r="C15" s="1">
        <v>2023</v>
      </c>
      <c r="D15" s="62">
        <v>44937</v>
      </c>
      <c r="E15" s="1">
        <v>456.4</v>
      </c>
      <c r="F15" s="1">
        <v>419.2</v>
      </c>
      <c r="G15" s="1">
        <v>458.32</v>
      </c>
      <c r="H15" s="1">
        <v>418.65</v>
      </c>
      <c r="I15" s="1" t="s">
        <v>84</v>
      </c>
      <c r="J15" s="1">
        <v>9.1300000000000006E-2</v>
      </c>
      <c r="L15" s="20"/>
      <c r="M15" s="46">
        <f>SUM(M3:M14)</f>
        <v>0</v>
      </c>
      <c r="N15" s="46"/>
      <c r="O15" s="46"/>
      <c r="P15" s="20"/>
      <c r="Q15" s="20"/>
      <c r="R15" s="47" t="e">
        <f>S15/M15</f>
        <v>#VALUE!</v>
      </c>
      <c r="S15" s="46" t="e">
        <f>SUM(S3:S14)</f>
        <v>#VALUE!</v>
      </c>
      <c r="T15" s="46"/>
      <c r="U15" s="46"/>
      <c r="V15" s="46" t="e">
        <f>SUM(V3:V14)</f>
        <v>#VALUE!</v>
      </c>
      <c r="W15" s="63" t="e">
        <f>V15/M15</f>
        <v>#VALUE!</v>
      </c>
      <c r="X15" s="20"/>
      <c r="Y15" s="20"/>
      <c r="Z15" s="46" t="e">
        <f>SUM(Z3:Z14)</f>
        <v>#VALUE!</v>
      </c>
      <c r="AA15" s="46"/>
      <c r="AB15" s="46"/>
      <c r="AC15" s="20"/>
      <c r="AD15" s="20"/>
      <c r="AE15" s="47" t="e">
        <f>AF15/Z15</f>
        <v>#VALUE!</v>
      </c>
      <c r="AF15" s="46" t="e">
        <f>SUM(AF3:AF14)</f>
        <v>#VALUE!</v>
      </c>
      <c r="AG15" s="46"/>
      <c r="AH15" s="46"/>
      <c r="AI15" s="46" t="e">
        <f>SUM(AI3:AI14)</f>
        <v>#VALUE!</v>
      </c>
      <c r="AJ15" s="63" t="e">
        <f>AI15/Z15</f>
        <v>#VALUE!</v>
      </c>
      <c r="AL15" s="20"/>
      <c r="AM15" s="46">
        <f>SUM(AM3:AM14)</f>
        <v>0</v>
      </c>
      <c r="AN15" s="46"/>
      <c r="AO15" s="46"/>
      <c r="AP15" s="20"/>
      <c r="AQ15" s="20"/>
      <c r="AR15" s="47" t="e">
        <f>AS15/AM15</f>
        <v>#DIV/0!</v>
      </c>
      <c r="AS15" s="46">
        <f>SUM(AS3:AS14)</f>
        <v>0</v>
      </c>
      <c r="AT15" s="46"/>
      <c r="AU15" s="46"/>
      <c r="AV15" s="46">
        <f>SUM(AV3:AV14)</f>
        <v>0</v>
      </c>
      <c r="AW15" s="63" t="e">
        <f>AV15/AM15</f>
        <v>#DIV/0!</v>
      </c>
      <c r="AY15" s="1" t="str">
        <f t="shared" si="4"/>
        <v>noviembre2023</v>
      </c>
      <c r="AZ15" s="1" t="s">
        <v>61</v>
      </c>
      <c r="BA15" s="1">
        <v>2023</v>
      </c>
      <c r="BB15" s="59">
        <v>44937</v>
      </c>
      <c r="BC15" s="60">
        <v>4007.57</v>
      </c>
      <c r="BD15" s="60">
        <v>4118</v>
      </c>
      <c r="BE15" s="60">
        <v>4141.62</v>
      </c>
      <c r="BF15" s="60">
        <v>3922.17</v>
      </c>
      <c r="BH15" s="61">
        <v>-2.6200000000000001E-2</v>
      </c>
    </row>
    <row r="16" spans="1:60" x14ac:dyDescent="0.25">
      <c r="A16" s="1" t="str">
        <f t="shared" si="0"/>
        <v>octubre2023</v>
      </c>
      <c r="B16" s="1" t="s">
        <v>63</v>
      </c>
      <c r="C16" s="1">
        <v>2023</v>
      </c>
      <c r="D16" s="62">
        <v>44936</v>
      </c>
      <c r="E16" s="1">
        <v>418.2</v>
      </c>
      <c r="F16" s="1">
        <v>426.62</v>
      </c>
      <c r="G16" s="1">
        <v>438.14</v>
      </c>
      <c r="H16" s="1">
        <v>409.21</v>
      </c>
      <c r="I16" s="1" t="s">
        <v>85</v>
      </c>
      <c r="J16" s="1">
        <v>-2.1700000000000001E-2</v>
      </c>
      <c r="AY16" s="1" t="str">
        <f t="shared" si="4"/>
        <v>octubre2023</v>
      </c>
      <c r="AZ16" s="1" t="s">
        <v>63</v>
      </c>
      <c r="BA16" s="1">
        <v>2023</v>
      </c>
      <c r="BB16" s="59">
        <v>44936</v>
      </c>
      <c r="BC16" s="60">
        <v>4115.5</v>
      </c>
      <c r="BD16" s="60">
        <v>4077.67</v>
      </c>
      <c r="BE16" s="60">
        <v>4432.3999999999996</v>
      </c>
      <c r="BF16" s="60">
        <v>4028.6</v>
      </c>
      <c r="BH16" s="61">
        <v>9.9000000000000008E-3</v>
      </c>
    </row>
    <row r="17" spans="1:60" x14ac:dyDescent="0.25">
      <c r="A17" s="1" t="str">
        <f t="shared" si="0"/>
        <v>septiembre2023</v>
      </c>
      <c r="B17" s="1" t="s">
        <v>65</v>
      </c>
      <c r="C17" s="1">
        <v>2023</v>
      </c>
      <c r="D17" s="62">
        <v>44935</v>
      </c>
      <c r="E17" s="1">
        <v>427.48</v>
      </c>
      <c r="F17" s="1">
        <v>453.17</v>
      </c>
      <c r="G17" s="1">
        <v>453.67</v>
      </c>
      <c r="H17" s="1">
        <v>422.29</v>
      </c>
      <c r="I17" s="1" t="s">
        <v>76</v>
      </c>
      <c r="J17" s="1">
        <v>-5.0799999999999998E-2</v>
      </c>
      <c r="L17" s="20" t="s">
        <v>43</v>
      </c>
      <c r="M17" s="20">
        <v>2023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Y17" s="1" t="str">
        <f t="shared" si="4"/>
        <v>septiembre2023</v>
      </c>
      <c r="AZ17" s="1" t="s">
        <v>65</v>
      </c>
      <c r="BA17" s="1">
        <v>2023</v>
      </c>
      <c r="BB17" s="59">
        <v>44935</v>
      </c>
      <c r="BC17" s="60">
        <v>4075</v>
      </c>
      <c r="BD17" s="60">
        <v>4092.11</v>
      </c>
      <c r="BE17" s="60">
        <v>4129.6400000000003</v>
      </c>
      <c r="BF17" s="60">
        <v>3867.48</v>
      </c>
      <c r="BH17" s="61">
        <v>-3.0999999999999999E-3</v>
      </c>
    </row>
    <row r="18" spans="1:60" x14ac:dyDescent="0.25">
      <c r="A18" s="1" t="str">
        <f t="shared" si="0"/>
        <v>agosto2023</v>
      </c>
      <c r="B18" s="1" t="s">
        <v>67</v>
      </c>
      <c r="C18" s="1">
        <v>2023</v>
      </c>
      <c r="D18" s="62">
        <v>44934</v>
      </c>
      <c r="E18" s="1">
        <v>450.35</v>
      </c>
      <c r="F18" s="1">
        <v>456.27</v>
      </c>
      <c r="G18" s="1">
        <v>457.25</v>
      </c>
      <c r="H18" s="1">
        <v>433.01</v>
      </c>
      <c r="I18" s="1" t="s">
        <v>86</v>
      </c>
      <c r="J18" s="1">
        <v>-1.6299999999999999E-2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Y18" s="1" t="str">
        <f t="shared" si="4"/>
        <v>agosto2023</v>
      </c>
      <c r="AZ18" s="1" t="s">
        <v>67</v>
      </c>
      <c r="BA18" s="1">
        <v>2023</v>
      </c>
      <c r="BB18" s="59">
        <v>44934</v>
      </c>
      <c r="BC18" s="60">
        <v>4087.55</v>
      </c>
      <c r="BD18" s="60">
        <v>3924.53</v>
      </c>
      <c r="BE18" s="60">
        <v>4172.25</v>
      </c>
      <c r="BF18" s="60">
        <v>3920.15</v>
      </c>
      <c r="BH18" s="61">
        <v>4.2900000000000001E-2</v>
      </c>
    </row>
    <row r="19" spans="1:60" x14ac:dyDescent="0.25">
      <c r="A19" s="1" t="str">
        <f t="shared" si="0"/>
        <v>julio2023</v>
      </c>
      <c r="B19" s="1" t="s">
        <v>69</v>
      </c>
      <c r="C19" s="1">
        <v>2023</v>
      </c>
      <c r="D19" s="62">
        <v>44933</v>
      </c>
      <c r="E19" s="1">
        <v>457.79</v>
      </c>
      <c r="F19" s="1">
        <v>442.92</v>
      </c>
      <c r="G19" s="1">
        <v>459.44</v>
      </c>
      <c r="H19" s="1">
        <v>437.06</v>
      </c>
      <c r="I19" s="1" t="s">
        <v>87</v>
      </c>
      <c r="J19" s="1">
        <v>3.27E-2</v>
      </c>
      <c r="L19" s="20" t="s">
        <v>27</v>
      </c>
      <c r="M19" s="46" t="str">
        <f>M3</f>
        <v/>
      </c>
      <c r="N19" s="46">
        <f>VLOOKUP(_xlfn.CONCAT(L19,$M$17),'data S&amp;P500'!$AY$2:$BH$73,6,0)</f>
        <v>4848</v>
      </c>
      <c r="O19" s="46" t="e">
        <f>M19/N19</f>
        <v>#VALUE!</v>
      </c>
      <c r="P19" s="48">
        <f>VLOOKUP(_xlfn.CONCAT(L19,M17),'data S&amp;P500'!$A$2:$J$73,6,0)</f>
        <v>384.37</v>
      </c>
      <c r="Q19" s="20">
        <f>VLOOKUP(_xlfn.CONCAT(L30,M17),$A$1:$E$73,5,0)</f>
        <v>475.31</v>
      </c>
      <c r="R19" s="47">
        <f t="shared" ref="R19:R30" si="30">(Q19-P19)/Q19</f>
        <v>0.19132776503755444</v>
      </c>
      <c r="S19" s="46" t="e">
        <f>O19*(1+R19)</f>
        <v>#VALUE!</v>
      </c>
      <c r="T19" s="46">
        <f>VLOOKUP(_xlfn.CONCAT(L30,M17),$AY$1:$BC$73,5,0)</f>
        <v>3872.59</v>
      </c>
      <c r="U19" s="46" t="e">
        <f>S19*T19</f>
        <v>#VALUE!</v>
      </c>
      <c r="V19" s="46" t="e">
        <f>U19-M19</f>
        <v>#VALUE!</v>
      </c>
      <c r="W19" s="47" t="e">
        <f>V19/M19</f>
        <v>#VALUE!</v>
      </c>
      <c r="X19" s="20"/>
      <c r="Y19" s="20" t="s">
        <v>27</v>
      </c>
      <c r="Z19" s="49" t="e">
        <f>Z3</f>
        <v>#VALUE!</v>
      </c>
      <c r="AA19" s="46">
        <f>N19</f>
        <v>4848</v>
      </c>
      <c r="AB19" s="46" t="e">
        <f>Z19/AA19</f>
        <v>#VALUE!</v>
      </c>
      <c r="AC19" s="48">
        <f>P19</f>
        <v>384.37</v>
      </c>
      <c r="AD19" s="48">
        <f>Q19</f>
        <v>475.31</v>
      </c>
      <c r="AE19" s="47">
        <f t="shared" ref="AE19:AE30" si="31">(AD19-AC19)/AD19</f>
        <v>0.19132776503755444</v>
      </c>
      <c r="AF19" s="46" t="e">
        <f>AB19*(1+AE19)</f>
        <v>#VALUE!</v>
      </c>
      <c r="AG19" s="46">
        <f>T19</f>
        <v>3872.59</v>
      </c>
      <c r="AH19" s="46" t="e">
        <f>AF19*AG19</f>
        <v>#VALUE!</v>
      </c>
      <c r="AI19" s="46" t="e">
        <f>AH19-Z19</f>
        <v>#VALUE!</v>
      </c>
      <c r="AJ19" s="47" t="e">
        <f>AI19/Z19</f>
        <v>#VALUE!</v>
      </c>
      <c r="AL19" s="20" t="s">
        <v>27</v>
      </c>
      <c r="AM19" s="49">
        <f>AM3</f>
        <v>0</v>
      </c>
      <c r="AN19" s="46">
        <f>AA19</f>
        <v>4848</v>
      </c>
      <c r="AO19" s="46">
        <f>AM19/AN19</f>
        <v>0</v>
      </c>
      <c r="AP19" s="48">
        <f>AC19</f>
        <v>384.37</v>
      </c>
      <c r="AQ19" s="48">
        <f>AD19</f>
        <v>475.31</v>
      </c>
      <c r="AR19" s="47">
        <f t="shared" ref="AR19:AR30" si="32">(AQ19-AP19)/AQ19</f>
        <v>0.19132776503755444</v>
      </c>
      <c r="AS19" s="46">
        <f>AO19*(1+AR19)</f>
        <v>0</v>
      </c>
      <c r="AT19" s="46">
        <f>AG19</f>
        <v>3872.59</v>
      </c>
      <c r="AU19" s="46">
        <f>AS19*AT19</f>
        <v>0</v>
      </c>
      <c r="AV19" s="46">
        <f>AU19-AM19</f>
        <v>0</v>
      </c>
      <c r="AW19" s="47" t="e">
        <f>AV19/AM19</f>
        <v>#DIV/0!</v>
      </c>
      <c r="AY19" s="1" t="str">
        <f t="shared" si="4"/>
        <v>julio2023</v>
      </c>
      <c r="AZ19" s="1" t="s">
        <v>69</v>
      </c>
      <c r="BA19" s="1">
        <v>2023</v>
      </c>
      <c r="BB19" s="59">
        <v>44933</v>
      </c>
      <c r="BC19" s="60">
        <v>3919.5</v>
      </c>
      <c r="BD19" s="60">
        <v>4161</v>
      </c>
      <c r="BE19" s="60">
        <v>4237.28</v>
      </c>
      <c r="BF19" s="60">
        <v>3870.09</v>
      </c>
      <c r="BH19" s="61">
        <v>-6.0600000000000001E-2</v>
      </c>
    </row>
    <row r="20" spans="1:60" x14ac:dyDescent="0.25">
      <c r="A20" s="1" t="str">
        <f t="shared" si="0"/>
        <v>junio2023</v>
      </c>
      <c r="B20" s="1" t="s">
        <v>71</v>
      </c>
      <c r="C20" s="1">
        <v>2023</v>
      </c>
      <c r="D20" s="62">
        <v>44932</v>
      </c>
      <c r="E20" s="1">
        <v>443.28</v>
      </c>
      <c r="F20" s="1">
        <v>418.09</v>
      </c>
      <c r="G20" s="1">
        <v>444.3</v>
      </c>
      <c r="H20" s="1">
        <v>416.79</v>
      </c>
      <c r="I20" s="1" t="s">
        <v>88</v>
      </c>
      <c r="J20" s="1">
        <v>6.0900000000000003E-2</v>
      </c>
      <c r="L20" s="20" t="s">
        <v>28</v>
      </c>
      <c r="M20" s="46" t="str">
        <f t="shared" ref="M20:M30" si="33">M4</f>
        <v/>
      </c>
      <c r="N20" s="46">
        <f>VLOOKUP(_xlfn.CONCAT(L20,$M$17),'data S&amp;P500'!$AY$2:$BH$73,6,0)</f>
        <v>4668.51</v>
      </c>
      <c r="O20" s="46" t="e">
        <f t="shared" ref="O20:O30" si="34">M20/N20</f>
        <v>#VALUE!</v>
      </c>
      <c r="P20" s="48">
        <f>VLOOKUP(_xlfn.CONCAT(L20,M17),'data S&amp;P500'!$A$2:$J$73,6,0)</f>
        <v>405.21</v>
      </c>
      <c r="Q20" s="20">
        <f>Q19</f>
        <v>475.31</v>
      </c>
      <c r="R20" s="47">
        <f t="shared" si="30"/>
        <v>0.14748269550398693</v>
      </c>
      <c r="S20" s="46" t="e">
        <f t="shared" ref="S20:S30" si="35">O20*(1+R20)</f>
        <v>#VALUE!</v>
      </c>
      <c r="T20" s="46">
        <f>T19</f>
        <v>3872.59</v>
      </c>
      <c r="U20" s="46" t="e">
        <f t="shared" ref="U20:U30" si="36">T20*S20</f>
        <v>#VALUE!</v>
      </c>
      <c r="V20" s="46" t="e">
        <f t="shared" ref="V20:V30" si="37">U20-M20</f>
        <v>#VALUE!</v>
      </c>
      <c r="W20" s="47" t="e">
        <f t="shared" ref="W20:W30" si="38">V20/M20</f>
        <v>#VALUE!</v>
      </c>
      <c r="X20" s="20"/>
      <c r="Y20" s="20" t="s">
        <v>28</v>
      </c>
      <c r="Z20" s="49" t="e">
        <f t="shared" ref="Z20:Z30" si="39">Z4</f>
        <v>#VALUE!</v>
      </c>
      <c r="AA20" s="46">
        <f t="shared" ref="AA20:AA30" si="40">N20</f>
        <v>4668.51</v>
      </c>
      <c r="AB20" s="46" t="e">
        <f t="shared" ref="AB20:AB30" si="41">Z20/AA20</f>
        <v>#VALUE!</v>
      </c>
      <c r="AC20" s="48">
        <f t="shared" ref="AC20:AC30" si="42">P20</f>
        <v>405.21</v>
      </c>
      <c r="AD20" s="48">
        <f t="shared" ref="AD20:AD30" si="43">Q20</f>
        <v>475.31</v>
      </c>
      <c r="AE20" s="47">
        <f t="shared" si="31"/>
        <v>0.14748269550398693</v>
      </c>
      <c r="AF20" s="46" t="e">
        <f t="shared" ref="AF20:AF30" si="44">AB20*(1+AE20)</f>
        <v>#VALUE!</v>
      </c>
      <c r="AG20" s="46">
        <f>AG19</f>
        <v>3872.59</v>
      </c>
      <c r="AH20" s="46" t="e">
        <f t="shared" ref="AH20:AH30" si="45">AG20*AF20</f>
        <v>#VALUE!</v>
      </c>
      <c r="AI20" s="46" t="e">
        <f t="shared" ref="AI20:AI30" si="46">AH20-Z20</f>
        <v>#VALUE!</v>
      </c>
      <c r="AJ20" s="47" t="e">
        <f t="shared" ref="AJ20:AJ30" si="47">AI20/Z20</f>
        <v>#VALUE!</v>
      </c>
      <c r="AL20" s="20" t="s">
        <v>28</v>
      </c>
      <c r="AM20" s="49">
        <f t="shared" ref="AM20:AM30" si="48">AM4</f>
        <v>0</v>
      </c>
      <c r="AN20" s="46">
        <f t="shared" ref="AN20:AN30" si="49">AA20</f>
        <v>4668.51</v>
      </c>
      <c r="AO20" s="46">
        <f t="shared" ref="AO20:AO30" si="50">AM20/AN20</f>
        <v>0</v>
      </c>
      <c r="AP20" s="48">
        <f t="shared" ref="AP20:AP30" si="51">AC20</f>
        <v>405.21</v>
      </c>
      <c r="AQ20" s="48">
        <f t="shared" ref="AQ20:AQ30" si="52">AD20</f>
        <v>475.31</v>
      </c>
      <c r="AR20" s="47">
        <f t="shared" si="32"/>
        <v>0.14748269550398693</v>
      </c>
      <c r="AS20" s="46">
        <f t="shared" ref="AS20:AS30" si="53">AO20*(1+AR20)</f>
        <v>0</v>
      </c>
      <c r="AT20" s="46">
        <f>AT19</f>
        <v>3872.59</v>
      </c>
      <c r="AU20" s="46">
        <f t="shared" ref="AU20:AU30" si="54">AT20*AS20</f>
        <v>0</v>
      </c>
      <c r="AV20" s="46">
        <f t="shared" ref="AV20:AV30" si="55">AU20-AM20</f>
        <v>0</v>
      </c>
      <c r="AW20" s="47" t="e">
        <f t="shared" ref="AW20:AW30" si="56">AV20/AM20</f>
        <v>#DIV/0!</v>
      </c>
      <c r="AY20" s="1" t="str">
        <f t="shared" si="4"/>
        <v>junio2023</v>
      </c>
      <c r="AZ20" s="1" t="s">
        <v>71</v>
      </c>
      <c r="BA20" s="1">
        <v>2023</v>
      </c>
      <c r="BB20" s="59">
        <v>44932</v>
      </c>
      <c r="BC20" s="60">
        <v>4172.5</v>
      </c>
      <c r="BD20" s="60">
        <v>4452.8</v>
      </c>
      <c r="BE20" s="60">
        <v>4454</v>
      </c>
      <c r="BF20" s="60">
        <v>4080.7</v>
      </c>
      <c r="BH20" s="61">
        <v>-6.2E-2</v>
      </c>
    </row>
    <row r="21" spans="1:60" x14ac:dyDescent="0.25">
      <c r="A21" s="1" t="str">
        <f t="shared" si="0"/>
        <v>mayo2023</v>
      </c>
      <c r="B21" s="1" t="s">
        <v>73</v>
      </c>
      <c r="C21" s="1">
        <v>2023</v>
      </c>
      <c r="D21" s="62">
        <v>44931</v>
      </c>
      <c r="E21" s="1">
        <v>417.85</v>
      </c>
      <c r="F21" s="1">
        <v>415.47</v>
      </c>
      <c r="G21" s="1">
        <v>422.58</v>
      </c>
      <c r="H21" s="1">
        <v>403.74</v>
      </c>
      <c r="I21" s="1" t="s">
        <v>89</v>
      </c>
      <c r="J21" s="1">
        <v>4.5999999999999999E-3</v>
      </c>
      <c r="L21" s="20" t="s">
        <v>29</v>
      </c>
      <c r="M21" s="46" t="str">
        <f t="shared" si="33"/>
        <v/>
      </c>
      <c r="N21" s="46">
        <f>VLOOKUP(_xlfn.CONCAT(L21,$M$17),'data S&amp;P500'!$AY$2:$BH$73,6,0)</f>
        <v>4859.8999999999996</v>
      </c>
      <c r="O21" s="46" t="e">
        <f t="shared" si="34"/>
        <v>#VALUE!</v>
      </c>
      <c r="P21" s="48">
        <f>VLOOKUP(_xlfn.CONCAT(L21,M17),'data S&amp;P500'!$A$2:$J$73,6,0)</f>
        <v>395.41</v>
      </c>
      <c r="Q21" s="20">
        <f t="shared" ref="Q21:Q30" si="57">Q20</f>
        <v>475.31</v>
      </c>
      <c r="R21" s="47">
        <f t="shared" si="30"/>
        <v>0.16810081841324603</v>
      </c>
      <c r="S21" s="46" t="e">
        <f t="shared" si="35"/>
        <v>#VALUE!</v>
      </c>
      <c r="T21" s="46">
        <f t="shared" ref="T21:T30" si="58">T20</f>
        <v>3872.59</v>
      </c>
      <c r="U21" s="46" t="e">
        <f t="shared" si="36"/>
        <v>#VALUE!</v>
      </c>
      <c r="V21" s="46" t="e">
        <f t="shared" si="37"/>
        <v>#VALUE!</v>
      </c>
      <c r="W21" s="47" t="e">
        <f t="shared" si="38"/>
        <v>#VALUE!</v>
      </c>
      <c r="X21" s="20"/>
      <c r="Y21" s="20" t="s">
        <v>29</v>
      </c>
      <c r="Z21" s="49" t="e">
        <f t="shared" si="39"/>
        <v>#VALUE!</v>
      </c>
      <c r="AA21" s="46">
        <f t="shared" si="40"/>
        <v>4859.8999999999996</v>
      </c>
      <c r="AB21" s="46" t="e">
        <f t="shared" si="41"/>
        <v>#VALUE!</v>
      </c>
      <c r="AC21" s="48">
        <f t="shared" si="42"/>
        <v>395.41</v>
      </c>
      <c r="AD21" s="48">
        <f t="shared" si="43"/>
        <v>475.31</v>
      </c>
      <c r="AE21" s="47">
        <f t="shared" si="31"/>
        <v>0.16810081841324603</v>
      </c>
      <c r="AF21" s="46" t="e">
        <f t="shared" si="44"/>
        <v>#VALUE!</v>
      </c>
      <c r="AG21" s="46">
        <f t="shared" ref="AG21:AG30" si="59">AG20</f>
        <v>3872.59</v>
      </c>
      <c r="AH21" s="46" t="e">
        <f t="shared" si="45"/>
        <v>#VALUE!</v>
      </c>
      <c r="AI21" s="46" t="e">
        <f t="shared" si="46"/>
        <v>#VALUE!</v>
      </c>
      <c r="AJ21" s="47" t="e">
        <f t="shared" si="47"/>
        <v>#VALUE!</v>
      </c>
      <c r="AL21" s="20" t="s">
        <v>29</v>
      </c>
      <c r="AM21" s="49">
        <f t="shared" si="48"/>
        <v>0</v>
      </c>
      <c r="AN21" s="46">
        <f t="shared" si="49"/>
        <v>4859.8999999999996</v>
      </c>
      <c r="AO21" s="46">
        <f t="shared" si="50"/>
        <v>0</v>
      </c>
      <c r="AP21" s="48">
        <f t="shared" si="51"/>
        <v>395.41</v>
      </c>
      <c r="AQ21" s="48">
        <f t="shared" si="52"/>
        <v>475.31</v>
      </c>
      <c r="AR21" s="47">
        <f t="shared" si="32"/>
        <v>0.16810081841324603</v>
      </c>
      <c r="AS21" s="46">
        <f t="shared" si="53"/>
        <v>0</v>
      </c>
      <c r="AT21" s="46">
        <f t="shared" ref="AT21:AT30" si="60">AT20</f>
        <v>3872.59</v>
      </c>
      <c r="AU21" s="46">
        <f t="shared" si="54"/>
        <v>0</v>
      </c>
      <c r="AV21" s="46">
        <f t="shared" si="55"/>
        <v>0</v>
      </c>
      <c r="AW21" s="47" t="e">
        <f t="shared" si="56"/>
        <v>#DIV/0!</v>
      </c>
      <c r="AY21" s="1" t="str">
        <f t="shared" si="4"/>
        <v>mayo2023</v>
      </c>
      <c r="AZ21" s="1" t="s">
        <v>73</v>
      </c>
      <c r="BA21" s="1">
        <v>2023</v>
      </c>
      <c r="BB21" s="59">
        <v>44931</v>
      </c>
      <c r="BC21" s="60">
        <v>4448.5</v>
      </c>
      <c r="BD21" s="60">
        <v>4695.25</v>
      </c>
      <c r="BE21" s="60">
        <v>4732.63</v>
      </c>
      <c r="BF21" s="60">
        <v>4372.8</v>
      </c>
      <c r="BH21" s="61">
        <v>-5.2600000000000001E-2</v>
      </c>
    </row>
    <row r="22" spans="1:60" x14ac:dyDescent="0.25">
      <c r="A22" s="1" t="str">
        <f t="shared" si="0"/>
        <v>abril2023</v>
      </c>
      <c r="B22" s="1" t="s">
        <v>75</v>
      </c>
      <c r="C22" s="1">
        <v>2023</v>
      </c>
      <c r="D22" s="62">
        <v>44930</v>
      </c>
      <c r="E22" s="1">
        <v>415.93</v>
      </c>
      <c r="F22" s="1">
        <v>408.85</v>
      </c>
      <c r="G22" s="1">
        <v>415.94</v>
      </c>
      <c r="H22" s="1">
        <v>403.78</v>
      </c>
      <c r="I22" s="1" t="s">
        <v>90</v>
      </c>
      <c r="J22" s="1">
        <v>1.6E-2</v>
      </c>
      <c r="L22" s="20" t="s">
        <v>30</v>
      </c>
      <c r="M22" s="46" t="str">
        <f t="shared" si="33"/>
        <v/>
      </c>
      <c r="N22" s="46">
        <f>VLOOKUP(_xlfn.CONCAT(L22,$M$17),'data S&amp;P500'!$AY$2:$BH$73,6,0)</f>
        <v>4662.62</v>
      </c>
      <c r="O22" s="46" t="e">
        <f t="shared" si="34"/>
        <v>#VALUE!</v>
      </c>
      <c r="P22" s="48">
        <f>VLOOKUP(_xlfn.CONCAT(L22,M17),'data S&amp;P500'!$A$2:$J$73,6,0)</f>
        <v>408.85</v>
      </c>
      <c r="Q22" s="20">
        <f t="shared" si="57"/>
        <v>475.31</v>
      </c>
      <c r="R22" s="47">
        <f t="shared" si="30"/>
        <v>0.13982453556626198</v>
      </c>
      <c r="S22" s="46" t="e">
        <f t="shared" si="35"/>
        <v>#VALUE!</v>
      </c>
      <c r="T22" s="46">
        <f t="shared" si="58"/>
        <v>3872.59</v>
      </c>
      <c r="U22" s="46" t="e">
        <f t="shared" si="36"/>
        <v>#VALUE!</v>
      </c>
      <c r="V22" s="46" t="e">
        <f t="shared" si="37"/>
        <v>#VALUE!</v>
      </c>
      <c r="W22" s="47" t="e">
        <f t="shared" si="38"/>
        <v>#VALUE!</v>
      </c>
      <c r="X22" s="20"/>
      <c r="Y22" s="20" t="s">
        <v>30</v>
      </c>
      <c r="Z22" s="49" t="e">
        <f t="shared" si="39"/>
        <v>#VALUE!</v>
      </c>
      <c r="AA22" s="46">
        <f t="shared" si="40"/>
        <v>4662.62</v>
      </c>
      <c r="AB22" s="46" t="e">
        <f t="shared" si="41"/>
        <v>#VALUE!</v>
      </c>
      <c r="AC22" s="48">
        <f t="shared" si="42"/>
        <v>408.85</v>
      </c>
      <c r="AD22" s="48">
        <f t="shared" si="43"/>
        <v>475.31</v>
      </c>
      <c r="AE22" s="47">
        <f t="shared" si="31"/>
        <v>0.13982453556626198</v>
      </c>
      <c r="AF22" s="46" t="e">
        <f t="shared" si="44"/>
        <v>#VALUE!</v>
      </c>
      <c r="AG22" s="46">
        <f t="shared" si="59"/>
        <v>3872.59</v>
      </c>
      <c r="AH22" s="46" t="e">
        <f t="shared" si="45"/>
        <v>#VALUE!</v>
      </c>
      <c r="AI22" s="46" t="e">
        <f t="shared" si="46"/>
        <v>#VALUE!</v>
      </c>
      <c r="AJ22" s="47" t="e">
        <f t="shared" si="47"/>
        <v>#VALUE!</v>
      </c>
      <c r="AL22" s="20" t="s">
        <v>30</v>
      </c>
      <c r="AM22" s="49">
        <f t="shared" si="48"/>
        <v>0</v>
      </c>
      <c r="AN22" s="46">
        <f t="shared" si="49"/>
        <v>4662.62</v>
      </c>
      <c r="AO22" s="46">
        <f t="shared" si="50"/>
        <v>0</v>
      </c>
      <c r="AP22" s="48">
        <f t="shared" si="51"/>
        <v>408.85</v>
      </c>
      <c r="AQ22" s="48">
        <f t="shared" si="52"/>
        <v>475.31</v>
      </c>
      <c r="AR22" s="47">
        <f t="shared" si="32"/>
        <v>0.13982453556626198</v>
      </c>
      <c r="AS22" s="46">
        <f t="shared" si="53"/>
        <v>0</v>
      </c>
      <c r="AT22" s="46">
        <f t="shared" si="60"/>
        <v>3872.59</v>
      </c>
      <c r="AU22" s="46">
        <f t="shared" si="54"/>
        <v>0</v>
      </c>
      <c r="AV22" s="46">
        <f t="shared" si="55"/>
        <v>0</v>
      </c>
      <c r="AW22" s="47" t="e">
        <f t="shared" si="56"/>
        <v>#DIV/0!</v>
      </c>
      <c r="AY22" s="1" t="str">
        <f t="shared" si="4"/>
        <v>abril2023</v>
      </c>
      <c r="AZ22" s="1" t="s">
        <v>75</v>
      </c>
      <c r="BA22" s="1">
        <v>2023</v>
      </c>
      <c r="BB22" s="59">
        <v>44930</v>
      </c>
      <c r="BC22" s="60">
        <v>4695.5</v>
      </c>
      <c r="BD22" s="60">
        <v>4662.62</v>
      </c>
      <c r="BE22" s="60">
        <v>4718.03</v>
      </c>
      <c r="BF22" s="60">
        <v>4393.75</v>
      </c>
      <c r="BH22" s="61">
        <v>9.4999999999999998E-3</v>
      </c>
    </row>
    <row r="23" spans="1:60" x14ac:dyDescent="0.25">
      <c r="A23" s="1" t="str">
        <f t="shared" si="0"/>
        <v>marzo2023</v>
      </c>
      <c r="B23" s="1" t="s">
        <v>77</v>
      </c>
      <c r="C23" s="1">
        <v>2023</v>
      </c>
      <c r="D23" s="62">
        <v>44929</v>
      </c>
      <c r="E23" s="1">
        <v>409.39</v>
      </c>
      <c r="F23" s="1">
        <v>395.41</v>
      </c>
      <c r="G23" s="1">
        <v>409.7</v>
      </c>
      <c r="H23" s="1">
        <v>380.65</v>
      </c>
      <c r="I23" s="1" t="s">
        <v>91</v>
      </c>
      <c r="J23" s="1">
        <v>3.3099999999999997E-2</v>
      </c>
      <c r="L23" s="20" t="s">
        <v>31</v>
      </c>
      <c r="M23" s="46" t="str">
        <f t="shared" si="33"/>
        <v/>
      </c>
      <c r="N23" s="46">
        <f>VLOOKUP(_xlfn.CONCAT(L23,$M$17),'data S&amp;P500'!$AY$2:$BH$73,6,0)</f>
        <v>4695.25</v>
      </c>
      <c r="O23" s="46" t="e">
        <f t="shared" si="34"/>
        <v>#VALUE!</v>
      </c>
      <c r="P23" s="48">
        <f>VLOOKUP(_xlfn.CONCAT(L23,M17),'data S&amp;P500'!$A$2:$J$73,6,0)</f>
        <v>415.47</v>
      </c>
      <c r="Q23" s="20">
        <f t="shared" si="57"/>
        <v>475.31</v>
      </c>
      <c r="R23" s="47">
        <f t="shared" si="30"/>
        <v>0.12589678315204808</v>
      </c>
      <c r="S23" s="46" t="e">
        <f t="shared" si="35"/>
        <v>#VALUE!</v>
      </c>
      <c r="T23" s="46">
        <f t="shared" si="58"/>
        <v>3872.59</v>
      </c>
      <c r="U23" s="46" t="e">
        <f t="shared" si="36"/>
        <v>#VALUE!</v>
      </c>
      <c r="V23" s="46" t="e">
        <f t="shared" si="37"/>
        <v>#VALUE!</v>
      </c>
      <c r="W23" s="47" t="e">
        <f t="shared" si="38"/>
        <v>#VALUE!</v>
      </c>
      <c r="X23" s="20"/>
      <c r="Y23" s="20" t="s">
        <v>31</v>
      </c>
      <c r="Z23" s="49" t="e">
        <f t="shared" si="39"/>
        <v>#VALUE!</v>
      </c>
      <c r="AA23" s="46">
        <f t="shared" si="40"/>
        <v>4695.25</v>
      </c>
      <c r="AB23" s="46" t="e">
        <f t="shared" si="41"/>
        <v>#VALUE!</v>
      </c>
      <c r="AC23" s="48">
        <f t="shared" si="42"/>
        <v>415.47</v>
      </c>
      <c r="AD23" s="48">
        <f t="shared" si="43"/>
        <v>475.31</v>
      </c>
      <c r="AE23" s="47">
        <f t="shared" si="31"/>
        <v>0.12589678315204808</v>
      </c>
      <c r="AF23" s="46" t="e">
        <f t="shared" si="44"/>
        <v>#VALUE!</v>
      </c>
      <c r="AG23" s="46">
        <f t="shared" si="59"/>
        <v>3872.59</v>
      </c>
      <c r="AH23" s="46" t="e">
        <f t="shared" si="45"/>
        <v>#VALUE!</v>
      </c>
      <c r="AI23" s="46" t="e">
        <f t="shared" si="46"/>
        <v>#VALUE!</v>
      </c>
      <c r="AJ23" s="47" t="e">
        <f t="shared" si="47"/>
        <v>#VALUE!</v>
      </c>
      <c r="AL23" s="20" t="s">
        <v>31</v>
      </c>
      <c r="AM23" s="49">
        <f t="shared" si="48"/>
        <v>0</v>
      </c>
      <c r="AN23" s="46">
        <f t="shared" si="49"/>
        <v>4695.25</v>
      </c>
      <c r="AO23" s="46">
        <f t="shared" si="50"/>
        <v>0</v>
      </c>
      <c r="AP23" s="48">
        <f t="shared" si="51"/>
        <v>415.47</v>
      </c>
      <c r="AQ23" s="48">
        <f t="shared" si="52"/>
        <v>475.31</v>
      </c>
      <c r="AR23" s="47">
        <f t="shared" si="32"/>
        <v>0.12589678315204808</v>
      </c>
      <c r="AS23" s="46">
        <f t="shared" si="53"/>
        <v>0</v>
      </c>
      <c r="AT23" s="46">
        <f t="shared" si="60"/>
        <v>3872.59</v>
      </c>
      <c r="AU23" s="46">
        <f t="shared" si="54"/>
        <v>0</v>
      </c>
      <c r="AV23" s="46">
        <f t="shared" si="55"/>
        <v>0</v>
      </c>
      <c r="AW23" s="47" t="e">
        <f t="shared" si="56"/>
        <v>#DIV/0!</v>
      </c>
      <c r="AY23" s="1" t="str">
        <f t="shared" si="4"/>
        <v>marzo2023</v>
      </c>
      <c r="AZ23" s="1" t="s">
        <v>77</v>
      </c>
      <c r="BA23" s="1">
        <v>2023</v>
      </c>
      <c r="BB23" s="59">
        <v>44929</v>
      </c>
      <c r="BC23" s="60">
        <v>4651.5</v>
      </c>
      <c r="BD23" s="60">
        <v>4859.8999999999996</v>
      </c>
      <c r="BE23" s="60">
        <v>4898.5</v>
      </c>
      <c r="BF23" s="60">
        <v>4570.8500000000004</v>
      </c>
      <c r="BH23" s="61">
        <v>-4.2200000000000001E-2</v>
      </c>
    </row>
    <row r="24" spans="1:60" x14ac:dyDescent="0.25">
      <c r="A24" s="1" t="str">
        <f t="shared" si="0"/>
        <v>febrero2023</v>
      </c>
      <c r="B24" s="1" t="s">
        <v>79</v>
      </c>
      <c r="C24" s="1">
        <v>2023</v>
      </c>
      <c r="D24" s="62">
        <v>44928</v>
      </c>
      <c r="E24" s="1">
        <v>396.26</v>
      </c>
      <c r="F24" s="1">
        <v>405.21</v>
      </c>
      <c r="G24" s="1">
        <v>418.31</v>
      </c>
      <c r="H24" s="1">
        <v>393.64</v>
      </c>
      <c r="I24" s="1" t="s">
        <v>92</v>
      </c>
      <c r="J24" s="1">
        <v>-2.5100000000000001E-2</v>
      </c>
      <c r="L24" s="20" t="s">
        <v>32</v>
      </c>
      <c r="M24" s="46" t="str">
        <f t="shared" si="33"/>
        <v/>
      </c>
      <c r="N24" s="46">
        <f>VLOOKUP(_xlfn.CONCAT(L24,$M$17),'data S&amp;P500'!$AY$2:$BH$73,6,0)</f>
        <v>4452.8</v>
      </c>
      <c r="O24" s="46" t="e">
        <f t="shared" si="34"/>
        <v>#VALUE!</v>
      </c>
      <c r="P24" s="48">
        <f>VLOOKUP(_xlfn.CONCAT(L24,M17),'data S&amp;P500'!$A$2:$J$73,6,0)</f>
        <v>418.09</v>
      </c>
      <c r="Q24" s="20">
        <f t="shared" si="57"/>
        <v>475.31</v>
      </c>
      <c r="R24" s="47">
        <f t="shared" si="30"/>
        <v>0.12038459110896052</v>
      </c>
      <c r="S24" s="46" t="e">
        <f t="shared" si="35"/>
        <v>#VALUE!</v>
      </c>
      <c r="T24" s="46">
        <f t="shared" si="58"/>
        <v>3872.59</v>
      </c>
      <c r="U24" s="46" t="e">
        <f t="shared" si="36"/>
        <v>#VALUE!</v>
      </c>
      <c r="V24" s="46" t="e">
        <f t="shared" si="37"/>
        <v>#VALUE!</v>
      </c>
      <c r="W24" s="47" t="e">
        <f t="shared" si="38"/>
        <v>#VALUE!</v>
      </c>
      <c r="X24" s="20"/>
      <c r="Y24" s="20" t="s">
        <v>32</v>
      </c>
      <c r="Z24" s="49" t="e">
        <f t="shared" si="39"/>
        <v>#VALUE!</v>
      </c>
      <c r="AA24" s="46">
        <f t="shared" si="40"/>
        <v>4452.8</v>
      </c>
      <c r="AB24" s="46" t="e">
        <f t="shared" si="41"/>
        <v>#VALUE!</v>
      </c>
      <c r="AC24" s="48">
        <f t="shared" si="42"/>
        <v>418.09</v>
      </c>
      <c r="AD24" s="48">
        <f t="shared" si="43"/>
        <v>475.31</v>
      </c>
      <c r="AE24" s="47">
        <f t="shared" si="31"/>
        <v>0.12038459110896052</v>
      </c>
      <c r="AF24" s="46" t="e">
        <f t="shared" si="44"/>
        <v>#VALUE!</v>
      </c>
      <c r="AG24" s="46">
        <f t="shared" si="59"/>
        <v>3872.59</v>
      </c>
      <c r="AH24" s="46" t="e">
        <f t="shared" si="45"/>
        <v>#VALUE!</v>
      </c>
      <c r="AI24" s="46" t="e">
        <f t="shared" si="46"/>
        <v>#VALUE!</v>
      </c>
      <c r="AJ24" s="47" t="e">
        <f t="shared" si="47"/>
        <v>#VALUE!</v>
      </c>
      <c r="AL24" s="20" t="s">
        <v>32</v>
      </c>
      <c r="AM24" s="49">
        <f t="shared" si="48"/>
        <v>0</v>
      </c>
      <c r="AN24" s="46">
        <f t="shared" si="49"/>
        <v>4452.8</v>
      </c>
      <c r="AO24" s="46">
        <f t="shared" si="50"/>
        <v>0</v>
      </c>
      <c r="AP24" s="48">
        <f t="shared" si="51"/>
        <v>418.09</v>
      </c>
      <c r="AQ24" s="48">
        <f t="shared" si="52"/>
        <v>475.31</v>
      </c>
      <c r="AR24" s="47">
        <f t="shared" si="32"/>
        <v>0.12038459110896052</v>
      </c>
      <c r="AS24" s="46">
        <f t="shared" si="53"/>
        <v>0</v>
      </c>
      <c r="AT24" s="46">
        <f t="shared" si="60"/>
        <v>3872.59</v>
      </c>
      <c r="AU24" s="46">
        <f t="shared" si="54"/>
        <v>0</v>
      </c>
      <c r="AV24" s="46">
        <f t="shared" si="55"/>
        <v>0</v>
      </c>
      <c r="AW24" s="47" t="e">
        <f t="shared" si="56"/>
        <v>#DIV/0!</v>
      </c>
      <c r="AY24" s="1" t="str">
        <f t="shared" si="4"/>
        <v>febrero2023</v>
      </c>
      <c r="AZ24" s="1" t="s">
        <v>79</v>
      </c>
      <c r="BA24" s="1">
        <v>2023</v>
      </c>
      <c r="BB24" s="59">
        <v>44928</v>
      </c>
      <c r="BC24" s="60">
        <v>4856.68</v>
      </c>
      <c r="BD24" s="60">
        <v>4668.51</v>
      </c>
      <c r="BE24" s="60">
        <v>4998.49</v>
      </c>
      <c r="BF24" s="60">
        <v>4542.58</v>
      </c>
      <c r="BH24" s="61">
        <v>4.0500000000000001E-2</v>
      </c>
    </row>
    <row r="25" spans="1:60" x14ac:dyDescent="0.25">
      <c r="A25" s="1" t="str">
        <f t="shared" si="0"/>
        <v>enero2023</v>
      </c>
      <c r="B25" s="1" t="s">
        <v>81</v>
      </c>
      <c r="C25" s="1">
        <v>2023</v>
      </c>
      <c r="D25" s="62">
        <v>44927</v>
      </c>
      <c r="E25" s="1">
        <v>406.48</v>
      </c>
      <c r="F25" s="1">
        <v>384.37</v>
      </c>
      <c r="G25" s="1">
        <v>408.16</v>
      </c>
      <c r="H25" s="1">
        <v>377.83</v>
      </c>
      <c r="I25" s="1" t="s">
        <v>93</v>
      </c>
      <c r="J25" s="1">
        <v>6.2899999999999998E-2</v>
      </c>
      <c r="L25" s="20" t="s">
        <v>33</v>
      </c>
      <c r="M25" s="46" t="str">
        <f t="shared" si="33"/>
        <v/>
      </c>
      <c r="N25" s="46">
        <f>VLOOKUP(_xlfn.CONCAT(L25,$M$17),'data S&amp;P500'!$AY$2:$BH$73,6,0)</f>
        <v>4161</v>
      </c>
      <c r="O25" s="46" t="e">
        <f t="shared" si="34"/>
        <v>#VALUE!</v>
      </c>
      <c r="P25" s="48">
        <f>VLOOKUP(_xlfn.CONCAT(L25,M17),'data S&amp;P500'!$A$2:$J$73,6,0)</f>
        <v>442.92</v>
      </c>
      <c r="Q25" s="20">
        <f t="shared" si="57"/>
        <v>475.31</v>
      </c>
      <c r="R25" s="47">
        <f t="shared" si="30"/>
        <v>6.8145000105194475E-2</v>
      </c>
      <c r="S25" s="46" t="e">
        <f t="shared" si="35"/>
        <v>#VALUE!</v>
      </c>
      <c r="T25" s="46">
        <f t="shared" si="58"/>
        <v>3872.59</v>
      </c>
      <c r="U25" s="46" t="e">
        <f t="shared" si="36"/>
        <v>#VALUE!</v>
      </c>
      <c r="V25" s="46" t="e">
        <f t="shared" si="37"/>
        <v>#VALUE!</v>
      </c>
      <c r="W25" s="47" t="e">
        <f t="shared" si="38"/>
        <v>#VALUE!</v>
      </c>
      <c r="X25" s="20"/>
      <c r="Y25" s="20" t="s">
        <v>33</v>
      </c>
      <c r="Z25" s="49" t="e">
        <f t="shared" si="39"/>
        <v>#VALUE!</v>
      </c>
      <c r="AA25" s="46">
        <f t="shared" si="40"/>
        <v>4161</v>
      </c>
      <c r="AB25" s="46" t="e">
        <f t="shared" si="41"/>
        <v>#VALUE!</v>
      </c>
      <c r="AC25" s="48">
        <f t="shared" si="42"/>
        <v>442.92</v>
      </c>
      <c r="AD25" s="48">
        <f t="shared" si="43"/>
        <v>475.31</v>
      </c>
      <c r="AE25" s="47">
        <f t="shared" si="31"/>
        <v>6.8145000105194475E-2</v>
      </c>
      <c r="AF25" s="46" t="e">
        <f t="shared" si="44"/>
        <v>#VALUE!</v>
      </c>
      <c r="AG25" s="46">
        <f t="shared" si="59"/>
        <v>3872.59</v>
      </c>
      <c r="AH25" s="46" t="e">
        <f t="shared" si="45"/>
        <v>#VALUE!</v>
      </c>
      <c r="AI25" s="46" t="e">
        <f t="shared" si="46"/>
        <v>#VALUE!</v>
      </c>
      <c r="AJ25" s="47" t="e">
        <f t="shared" si="47"/>
        <v>#VALUE!</v>
      </c>
      <c r="AL25" s="20" t="s">
        <v>33</v>
      </c>
      <c r="AM25" s="49">
        <f t="shared" si="48"/>
        <v>0</v>
      </c>
      <c r="AN25" s="46">
        <f t="shared" si="49"/>
        <v>4161</v>
      </c>
      <c r="AO25" s="46">
        <f t="shared" si="50"/>
        <v>0</v>
      </c>
      <c r="AP25" s="48">
        <f t="shared" si="51"/>
        <v>442.92</v>
      </c>
      <c r="AQ25" s="48">
        <f t="shared" si="52"/>
        <v>475.31</v>
      </c>
      <c r="AR25" s="47">
        <f t="shared" si="32"/>
        <v>6.8145000105194475E-2</v>
      </c>
      <c r="AS25" s="46">
        <f t="shared" si="53"/>
        <v>0</v>
      </c>
      <c r="AT25" s="46">
        <f t="shared" si="60"/>
        <v>3872.59</v>
      </c>
      <c r="AU25" s="46">
        <f t="shared" si="54"/>
        <v>0</v>
      </c>
      <c r="AV25" s="46">
        <f t="shared" si="55"/>
        <v>0</v>
      </c>
      <c r="AW25" s="47" t="e">
        <f t="shared" si="56"/>
        <v>#DIV/0!</v>
      </c>
      <c r="AY25" s="1" t="str">
        <f t="shared" si="4"/>
        <v>enero2023</v>
      </c>
      <c r="AZ25" s="1" t="s">
        <v>81</v>
      </c>
      <c r="BA25" s="1">
        <v>2023</v>
      </c>
      <c r="BB25" s="59">
        <v>44927</v>
      </c>
      <c r="BC25" s="60">
        <v>4667.72</v>
      </c>
      <c r="BD25" s="60">
        <v>4848</v>
      </c>
      <c r="BE25" s="60">
        <v>5008.88</v>
      </c>
      <c r="BF25" s="60">
        <v>4489.54</v>
      </c>
      <c r="BH25" s="61">
        <v>-3.6999999999999998E-2</v>
      </c>
    </row>
    <row r="26" spans="1:60" x14ac:dyDescent="0.25">
      <c r="A26" s="1" t="str">
        <f t="shared" si="0"/>
        <v>diciembre2022</v>
      </c>
      <c r="B26" s="1" t="s">
        <v>59</v>
      </c>
      <c r="C26" s="1">
        <v>2022</v>
      </c>
      <c r="D26" s="62">
        <v>44573</v>
      </c>
      <c r="E26" s="1">
        <v>382.43</v>
      </c>
      <c r="F26" s="1">
        <v>408.77</v>
      </c>
      <c r="G26" s="1">
        <v>410.49</v>
      </c>
      <c r="H26" s="1">
        <v>374.77</v>
      </c>
      <c r="I26" s="1" t="s">
        <v>94</v>
      </c>
      <c r="J26" s="1">
        <v>-6.1899999999999997E-2</v>
      </c>
      <c r="L26" s="20" t="s">
        <v>34</v>
      </c>
      <c r="M26" s="46" t="str">
        <f t="shared" si="33"/>
        <v/>
      </c>
      <c r="N26" s="46">
        <f>VLOOKUP(_xlfn.CONCAT(L26,$M$17),'data S&amp;P500'!$AY$2:$BH$73,6,0)</f>
        <v>3924.53</v>
      </c>
      <c r="O26" s="46" t="e">
        <f t="shared" si="34"/>
        <v>#VALUE!</v>
      </c>
      <c r="P26" s="48">
        <f>VLOOKUP(_xlfn.CONCAT(L26,M17),'data S&amp;P500'!$A$2:$J$73,6,0)</f>
        <v>456.27</v>
      </c>
      <c r="Q26" s="20">
        <f t="shared" si="57"/>
        <v>475.31</v>
      </c>
      <c r="R26" s="47">
        <f t="shared" si="30"/>
        <v>4.0058067366560812E-2</v>
      </c>
      <c r="S26" s="46" t="e">
        <f t="shared" si="35"/>
        <v>#VALUE!</v>
      </c>
      <c r="T26" s="46">
        <f t="shared" si="58"/>
        <v>3872.59</v>
      </c>
      <c r="U26" s="46" t="e">
        <f t="shared" si="36"/>
        <v>#VALUE!</v>
      </c>
      <c r="V26" s="46" t="e">
        <f t="shared" si="37"/>
        <v>#VALUE!</v>
      </c>
      <c r="W26" s="47" t="e">
        <f t="shared" si="38"/>
        <v>#VALUE!</v>
      </c>
      <c r="X26" s="20"/>
      <c r="Y26" s="20" t="s">
        <v>34</v>
      </c>
      <c r="Z26" s="49" t="e">
        <f t="shared" si="39"/>
        <v>#VALUE!</v>
      </c>
      <c r="AA26" s="46">
        <f t="shared" si="40"/>
        <v>3924.53</v>
      </c>
      <c r="AB26" s="46" t="e">
        <f t="shared" si="41"/>
        <v>#VALUE!</v>
      </c>
      <c r="AC26" s="48">
        <f t="shared" si="42"/>
        <v>456.27</v>
      </c>
      <c r="AD26" s="48">
        <f t="shared" si="43"/>
        <v>475.31</v>
      </c>
      <c r="AE26" s="47">
        <f t="shared" si="31"/>
        <v>4.0058067366560812E-2</v>
      </c>
      <c r="AF26" s="46" t="e">
        <f t="shared" si="44"/>
        <v>#VALUE!</v>
      </c>
      <c r="AG26" s="46">
        <f t="shared" si="59"/>
        <v>3872.59</v>
      </c>
      <c r="AH26" s="46" t="e">
        <f t="shared" si="45"/>
        <v>#VALUE!</v>
      </c>
      <c r="AI26" s="46" t="e">
        <f t="shared" si="46"/>
        <v>#VALUE!</v>
      </c>
      <c r="AJ26" s="47" t="e">
        <f t="shared" si="47"/>
        <v>#VALUE!</v>
      </c>
      <c r="AL26" s="20" t="s">
        <v>34</v>
      </c>
      <c r="AM26" s="49">
        <f t="shared" si="48"/>
        <v>0</v>
      </c>
      <c r="AN26" s="46">
        <f t="shared" si="49"/>
        <v>3924.53</v>
      </c>
      <c r="AO26" s="46">
        <f t="shared" si="50"/>
        <v>0</v>
      </c>
      <c r="AP26" s="48">
        <f t="shared" si="51"/>
        <v>456.27</v>
      </c>
      <c r="AQ26" s="48">
        <f t="shared" si="52"/>
        <v>475.31</v>
      </c>
      <c r="AR26" s="47">
        <f t="shared" si="32"/>
        <v>4.0058067366560812E-2</v>
      </c>
      <c r="AS26" s="46">
        <f t="shared" si="53"/>
        <v>0</v>
      </c>
      <c r="AT26" s="46">
        <f t="shared" si="60"/>
        <v>3872.59</v>
      </c>
      <c r="AU26" s="46">
        <f t="shared" si="54"/>
        <v>0</v>
      </c>
      <c r="AV26" s="46">
        <f t="shared" si="55"/>
        <v>0</v>
      </c>
      <c r="AW26" s="47" t="e">
        <f t="shared" si="56"/>
        <v>#DIV/0!</v>
      </c>
      <c r="AY26" s="1" t="str">
        <f t="shared" si="4"/>
        <v>diciembre2022</v>
      </c>
      <c r="AZ26" s="1" t="s">
        <v>59</v>
      </c>
      <c r="BA26" s="1">
        <v>2022</v>
      </c>
      <c r="BB26" s="59">
        <v>44573</v>
      </c>
      <c r="BC26" s="60">
        <v>4847</v>
      </c>
      <c r="BD26" s="60">
        <v>4830.57</v>
      </c>
      <c r="BE26" s="60">
        <v>4861</v>
      </c>
      <c r="BF26" s="60">
        <v>4727.21</v>
      </c>
      <c r="BH26" s="61">
        <v>4.1000000000000003E-3</v>
      </c>
    </row>
    <row r="27" spans="1:60" x14ac:dyDescent="0.25">
      <c r="A27" s="1" t="str">
        <f t="shared" si="0"/>
        <v>noviembre2022</v>
      </c>
      <c r="B27" s="1" t="s">
        <v>61</v>
      </c>
      <c r="C27" s="1">
        <v>2022</v>
      </c>
      <c r="D27" s="62">
        <v>44572</v>
      </c>
      <c r="E27" s="1">
        <v>407.68</v>
      </c>
      <c r="F27" s="1">
        <v>390.14</v>
      </c>
      <c r="G27" s="1">
        <v>407.68</v>
      </c>
      <c r="H27" s="1">
        <v>368.79</v>
      </c>
      <c r="I27" s="1" t="s">
        <v>88</v>
      </c>
      <c r="J27" s="1">
        <v>5.5599999999999997E-2</v>
      </c>
      <c r="L27" s="20" t="s">
        <v>35</v>
      </c>
      <c r="M27" s="46" t="str">
        <f t="shared" si="33"/>
        <v/>
      </c>
      <c r="N27" s="46">
        <f>VLOOKUP(_xlfn.CONCAT(L27,$M$17),'data S&amp;P500'!$AY$2:$BH$73,6,0)</f>
        <v>4092.11</v>
      </c>
      <c r="O27" s="46" t="e">
        <f t="shared" si="34"/>
        <v>#VALUE!</v>
      </c>
      <c r="P27" s="48">
        <f>VLOOKUP(_xlfn.CONCAT(L27,M17),'data S&amp;P500'!$A$2:$J$73,6,0)</f>
        <v>453.17</v>
      </c>
      <c r="Q27" s="20">
        <f t="shared" si="57"/>
        <v>475.31</v>
      </c>
      <c r="R27" s="47">
        <f t="shared" si="30"/>
        <v>4.6580126654183554E-2</v>
      </c>
      <c r="S27" s="46" t="e">
        <f t="shared" si="35"/>
        <v>#VALUE!</v>
      </c>
      <c r="T27" s="46">
        <f t="shared" si="58"/>
        <v>3872.59</v>
      </c>
      <c r="U27" s="46" t="e">
        <f t="shared" si="36"/>
        <v>#VALUE!</v>
      </c>
      <c r="V27" s="46" t="e">
        <f t="shared" si="37"/>
        <v>#VALUE!</v>
      </c>
      <c r="W27" s="47" t="e">
        <f t="shared" si="38"/>
        <v>#VALUE!</v>
      </c>
      <c r="X27" s="20"/>
      <c r="Y27" s="20" t="s">
        <v>35</v>
      </c>
      <c r="Z27" s="49" t="e">
        <f t="shared" si="39"/>
        <v>#VALUE!</v>
      </c>
      <c r="AA27" s="46">
        <f t="shared" si="40"/>
        <v>4092.11</v>
      </c>
      <c r="AB27" s="46" t="e">
        <f t="shared" si="41"/>
        <v>#VALUE!</v>
      </c>
      <c r="AC27" s="48">
        <f t="shared" si="42"/>
        <v>453.17</v>
      </c>
      <c r="AD27" s="48">
        <f t="shared" si="43"/>
        <v>475.31</v>
      </c>
      <c r="AE27" s="47">
        <f t="shared" si="31"/>
        <v>4.6580126654183554E-2</v>
      </c>
      <c r="AF27" s="46" t="e">
        <f t="shared" si="44"/>
        <v>#VALUE!</v>
      </c>
      <c r="AG27" s="46">
        <f t="shared" si="59"/>
        <v>3872.59</v>
      </c>
      <c r="AH27" s="46" t="e">
        <f t="shared" si="45"/>
        <v>#VALUE!</v>
      </c>
      <c r="AI27" s="46" t="e">
        <f t="shared" si="46"/>
        <v>#VALUE!</v>
      </c>
      <c r="AJ27" s="47" t="e">
        <f t="shared" si="47"/>
        <v>#VALUE!</v>
      </c>
      <c r="AL27" s="20" t="s">
        <v>35</v>
      </c>
      <c r="AM27" s="49">
        <f t="shared" si="48"/>
        <v>0</v>
      </c>
      <c r="AN27" s="46">
        <f t="shared" si="49"/>
        <v>4092.11</v>
      </c>
      <c r="AO27" s="46">
        <f t="shared" si="50"/>
        <v>0</v>
      </c>
      <c r="AP27" s="48">
        <f t="shared" si="51"/>
        <v>453.17</v>
      </c>
      <c r="AQ27" s="48">
        <f t="shared" si="52"/>
        <v>475.31</v>
      </c>
      <c r="AR27" s="47">
        <f t="shared" si="32"/>
        <v>4.6580126654183554E-2</v>
      </c>
      <c r="AS27" s="46">
        <f t="shared" si="53"/>
        <v>0</v>
      </c>
      <c r="AT27" s="46">
        <f t="shared" si="60"/>
        <v>3872.59</v>
      </c>
      <c r="AU27" s="46">
        <f t="shared" si="54"/>
        <v>0</v>
      </c>
      <c r="AV27" s="46">
        <f t="shared" si="55"/>
        <v>0</v>
      </c>
      <c r="AW27" s="47" t="e">
        <f t="shared" si="56"/>
        <v>#DIV/0!</v>
      </c>
      <c r="AY27" s="1" t="str">
        <f t="shared" si="4"/>
        <v>noviembre2022</v>
      </c>
      <c r="AZ27" s="1" t="s">
        <v>61</v>
      </c>
      <c r="BA27" s="1">
        <v>2022</v>
      </c>
      <c r="BB27" s="59">
        <v>44572</v>
      </c>
      <c r="BC27" s="60">
        <v>4827</v>
      </c>
      <c r="BD27" s="60">
        <v>4936.6000000000004</v>
      </c>
      <c r="BE27" s="60">
        <v>5123.13</v>
      </c>
      <c r="BF27" s="60">
        <v>4767.21</v>
      </c>
      <c r="BH27" s="61">
        <v>-2.0799999999999999E-2</v>
      </c>
    </row>
    <row r="28" spans="1:60" x14ac:dyDescent="0.25">
      <c r="A28" s="1" t="str">
        <f t="shared" si="0"/>
        <v>octubre2022</v>
      </c>
      <c r="B28" s="1" t="s">
        <v>63</v>
      </c>
      <c r="C28" s="1">
        <v>2022</v>
      </c>
      <c r="D28" s="62">
        <v>44571</v>
      </c>
      <c r="E28" s="1">
        <v>386.21</v>
      </c>
      <c r="F28" s="1">
        <v>361.08</v>
      </c>
      <c r="G28" s="1">
        <v>389.52</v>
      </c>
      <c r="H28" s="1">
        <v>348.11</v>
      </c>
      <c r="I28" s="1" t="s">
        <v>95</v>
      </c>
      <c r="J28" s="1">
        <v>8.1299999999999997E-2</v>
      </c>
      <c r="L28" s="20" t="s">
        <v>36</v>
      </c>
      <c r="M28" s="46" t="str">
        <f t="shared" si="33"/>
        <v/>
      </c>
      <c r="N28" s="46">
        <f>VLOOKUP(_xlfn.CONCAT(L28,$M$17),'data S&amp;P500'!$AY$2:$BH$73,6,0)</f>
        <v>4077.67</v>
      </c>
      <c r="O28" s="46" t="e">
        <f t="shared" si="34"/>
        <v>#VALUE!</v>
      </c>
      <c r="P28" s="48">
        <f>VLOOKUP(_xlfn.CONCAT(L28,M17),'data S&amp;P500'!$A$2:$J$73,6,0)</f>
        <v>426.62</v>
      </c>
      <c r="Q28" s="20">
        <f t="shared" si="57"/>
        <v>475.31</v>
      </c>
      <c r="R28" s="47">
        <f t="shared" si="30"/>
        <v>0.10243840861753381</v>
      </c>
      <c r="S28" s="46" t="e">
        <f t="shared" si="35"/>
        <v>#VALUE!</v>
      </c>
      <c r="T28" s="46">
        <f t="shared" si="58"/>
        <v>3872.59</v>
      </c>
      <c r="U28" s="46" t="e">
        <f t="shared" si="36"/>
        <v>#VALUE!</v>
      </c>
      <c r="V28" s="46" t="e">
        <f t="shared" si="37"/>
        <v>#VALUE!</v>
      </c>
      <c r="W28" s="47" t="e">
        <f t="shared" si="38"/>
        <v>#VALUE!</v>
      </c>
      <c r="X28" s="20"/>
      <c r="Y28" s="20" t="s">
        <v>36</v>
      </c>
      <c r="Z28" s="49" t="e">
        <f t="shared" si="39"/>
        <v>#VALUE!</v>
      </c>
      <c r="AA28" s="46">
        <f t="shared" si="40"/>
        <v>4077.67</v>
      </c>
      <c r="AB28" s="46" t="e">
        <f t="shared" si="41"/>
        <v>#VALUE!</v>
      </c>
      <c r="AC28" s="48">
        <f t="shared" si="42"/>
        <v>426.62</v>
      </c>
      <c r="AD28" s="48">
        <f t="shared" si="43"/>
        <v>475.31</v>
      </c>
      <c r="AE28" s="47">
        <f t="shared" si="31"/>
        <v>0.10243840861753381</v>
      </c>
      <c r="AF28" s="46" t="e">
        <f t="shared" si="44"/>
        <v>#VALUE!</v>
      </c>
      <c r="AG28" s="46">
        <f t="shared" si="59"/>
        <v>3872.59</v>
      </c>
      <c r="AH28" s="46" t="e">
        <f t="shared" si="45"/>
        <v>#VALUE!</v>
      </c>
      <c r="AI28" s="46" t="e">
        <f t="shared" si="46"/>
        <v>#VALUE!</v>
      </c>
      <c r="AJ28" s="47" t="e">
        <f t="shared" si="47"/>
        <v>#VALUE!</v>
      </c>
      <c r="AL28" s="20" t="s">
        <v>36</v>
      </c>
      <c r="AM28" s="49">
        <f t="shared" si="48"/>
        <v>0</v>
      </c>
      <c r="AN28" s="46">
        <f t="shared" si="49"/>
        <v>4077.67</v>
      </c>
      <c r="AO28" s="46">
        <f t="shared" si="50"/>
        <v>0</v>
      </c>
      <c r="AP28" s="48">
        <f t="shared" si="51"/>
        <v>426.62</v>
      </c>
      <c r="AQ28" s="48">
        <f t="shared" si="52"/>
        <v>475.31</v>
      </c>
      <c r="AR28" s="47">
        <f t="shared" si="32"/>
        <v>0.10243840861753381</v>
      </c>
      <c r="AS28" s="46">
        <f t="shared" si="53"/>
        <v>0</v>
      </c>
      <c r="AT28" s="46">
        <f t="shared" si="60"/>
        <v>3872.59</v>
      </c>
      <c r="AU28" s="46">
        <f t="shared" si="54"/>
        <v>0</v>
      </c>
      <c r="AV28" s="46">
        <f t="shared" si="55"/>
        <v>0</v>
      </c>
      <c r="AW28" s="47" t="e">
        <f t="shared" si="56"/>
        <v>#DIV/0!</v>
      </c>
      <c r="AY28" s="1" t="str">
        <f t="shared" si="4"/>
        <v>octubre2022</v>
      </c>
      <c r="AZ28" s="1" t="s">
        <v>63</v>
      </c>
      <c r="BA28" s="1">
        <v>2022</v>
      </c>
      <c r="BB28" s="59">
        <v>44571</v>
      </c>
      <c r="BC28" s="60">
        <v>4929.3500000000004</v>
      </c>
      <c r="BD28" s="60">
        <v>4610</v>
      </c>
      <c r="BE28" s="60">
        <v>5003.58</v>
      </c>
      <c r="BF28" s="60">
        <v>4462.04</v>
      </c>
      <c r="BH28" s="61">
        <v>7.0599999999999996E-2</v>
      </c>
    </row>
    <row r="29" spans="1:60" x14ac:dyDescent="0.25">
      <c r="A29" s="1" t="str">
        <f t="shared" si="0"/>
        <v>septiembre2022</v>
      </c>
      <c r="B29" s="1" t="s">
        <v>65</v>
      </c>
      <c r="C29" s="1">
        <v>2022</v>
      </c>
      <c r="D29" s="62">
        <v>44570</v>
      </c>
      <c r="E29" s="1">
        <v>357.18</v>
      </c>
      <c r="F29" s="1">
        <v>392.89</v>
      </c>
      <c r="G29" s="1">
        <v>411.73</v>
      </c>
      <c r="H29" s="1">
        <v>357.04</v>
      </c>
      <c r="I29" s="1" t="s">
        <v>85</v>
      </c>
      <c r="J29" s="1">
        <v>-9.6199999999999994E-2</v>
      </c>
      <c r="L29" s="20" t="s">
        <v>37</v>
      </c>
      <c r="M29" s="46" t="str">
        <f t="shared" si="33"/>
        <v/>
      </c>
      <c r="N29" s="46">
        <f>VLOOKUP(_xlfn.CONCAT(L29,$M$17),'data S&amp;P500'!$AY$2:$BH$73,6,0)</f>
        <v>4118</v>
      </c>
      <c r="O29" s="46" t="e">
        <f t="shared" si="34"/>
        <v>#VALUE!</v>
      </c>
      <c r="P29" s="48">
        <f>VLOOKUP(_xlfn.CONCAT(L29,M17),'data S&amp;P500'!$A$2:$J$73,6,0)</f>
        <v>419.2</v>
      </c>
      <c r="Q29" s="20">
        <f t="shared" si="57"/>
        <v>475.31</v>
      </c>
      <c r="R29" s="47">
        <f t="shared" si="30"/>
        <v>0.11804927310597298</v>
      </c>
      <c r="S29" s="46" t="e">
        <f t="shared" si="35"/>
        <v>#VALUE!</v>
      </c>
      <c r="T29" s="46">
        <f t="shared" si="58"/>
        <v>3872.59</v>
      </c>
      <c r="U29" s="46" t="e">
        <f t="shared" si="36"/>
        <v>#VALUE!</v>
      </c>
      <c r="V29" s="46" t="e">
        <f t="shared" si="37"/>
        <v>#VALUE!</v>
      </c>
      <c r="W29" s="47" t="e">
        <f t="shared" si="38"/>
        <v>#VALUE!</v>
      </c>
      <c r="X29" s="20"/>
      <c r="Y29" s="20" t="s">
        <v>37</v>
      </c>
      <c r="Z29" s="49" t="e">
        <f t="shared" si="39"/>
        <v>#VALUE!</v>
      </c>
      <c r="AA29" s="46">
        <f t="shared" si="40"/>
        <v>4118</v>
      </c>
      <c r="AB29" s="46" t="e">
        <f t="shared" si="41"/>
        <v>#VALUE!</v>
      </c>
      <c r="AC29" s="48">
        <f t="shared" si="42"/>
        <v>419.2</v>
      </c>
      <c r="AD29" s="48">
        <f t="shared" si="43"/>
        <v>475.31</v>
      </c>
      <c r="AE29" s="47">
        <f t="shared" si="31"/>
        <v>0.11804927310597298</v>
      </c>
      <c r="AF29" s="46" t="e">
        <f t="shared" si="44"/>
        <v>#VALUE!</v>
      </c>
      <c r="AG29" s="46">
        <f t="shared" si="59"/>
        <v>3872.59</v>
      </c>
      <c r="AH29" s="46" t="e">
        <f t="shared" si="45"/>
        <v>#VALUE!</v>
      </c>
      <c r="AI29" s="46" t="e">
        <f t="shared" si="46"/>
        <v>#VALUE!</v>
      </c>
      <c r="AJ29" s="47" t="e">
        <f t="shared" si="47"/>
        <v>#VALUE!</v>
      </c>
      <c r="AL29" s="20" t="s">
        <v>37</v>
      </c>
      <c r="AM29" s="49">
        <f t="shared" si="48"/>
        <v>0</v>
      </c>
      <c r="AN29" s="46">
        <f t="shared" si="49"/>
        <v>4118</v>
      </c>
      <c r="AO29" s="46">
        <f t="shared" si="50"/>
        <v>0</v>
      </c>
      <c r="AP29" s="48">
        <f t="shared" si="51"/>
        <v>419.2</v>
      </c>
      <c r="AQ29" s="48">
        <f t="shared" si="52"/>
        <v>475.31</v>
      </c>
      <c r="AR29" s="47">
        <f t="shared" si="32"/>
        <v>0.11804927310597298</v>
      </c>
      <c r="AS29" s="46">
        <f t="shared" si="53"/>
        <v>0</v>
      </c>
      <c r="AT29" s="46">
        <f t="shared" si="60"/>
        <v>3872.59</v>
      </c>
      <c r="AU29" s="46">
        <f t="shared" si="54"/>
        <v>0</v>
      </c>
      <c r="AV29" s="46">
        <f t="shared" si="55"/>
        <v>0</v>
      </c>
      <c r="AW29" s="47" t="e">
        <f t="shared" si="56"/>
        <v>#DIV/0!</v>
      </c>
      <c r="AY29" s="1" t="str">
        <f t="shared" si="4"/>
        <v>septiembre2022</v>
      </c>
      <c r="AZ29" s="1" t="s">
        <v>65</v>
      </c>
      <c r="BA29" s="1">
        <v>2022</v>
      </c>
      <c r="BB29" s="59">
        <v>44570</v>
      </c>
      <c r="BC29" s="60">
        <v>4604.13</v>
      </c>
      <c r="BD29" s="60">
        <v>4429</v>
      </c>
      <c r="BE29" s="60">
        <v>4616.25</v>
      </c>
      <c r="BF29" s="60">
        <v>4322.2299999999996</v>
      </c>
      <c r="BH29" s="61">
        <v>4.1000000000000002E-2</v>
      </c>
    </row>
    <row r="30" spans="1:60" x14ac:dyDescent="0.25">
      <c r="A30" s="1" t="str">
        <f t="shared" si="0"/>
        <v>agosto2022</v>
      </c>
      <c r="B30" s="1" t="s">
        <v>67</v>
      </c>
      <c r="C30" s="1">
        <v>2022</v>
      </c>
      <c r="D30" s="62">
        <v>44569</v>
      </c>
      <c r="E30" s="1">
        <v>395.18</v>
      </c>
      <c r="F30" s="1">
        <v>409.15</v>
      </c>
      <c r="G30" s="1">
        <v>431.73</v>
      </c>
      <c r="H30" s="1">
        <v>395.04</v>
      </c>
      <c r="I30" s="1" t="s">
        <v>96</v>
      </c>
      <c r="J30" s="1">
        <v>-4.0800000000000003E-2</v>
      </c>
      <c r="L30" s="20" t="s">
        <v>38</v>
      </c>
      <c r="M30" s="46" t="str">
        <f t="shared" si="33"/>
        <v/>
      </c>
      <c r="N30" s="46">
        <f>VLOOKUP(_xlfn.CONCAT(L30,$M$17),'data S&amp;P500'!$AY$2:$BH$73,6,0)</f>
        <v>4030.3</v>
      </c>
      <c r="O30" s="46" t="e">
        <f t="shared" si="34"/>
        <v>#VALUE!</v>
      </c>
      <c r="P30" s="48">
        <f>VLOOKUP(_xlfn.CONCAT(L30,M17),'data S&amp;P500'!$A$2:$J$73,6,0)</f>
        <v>455.77</v>
      </c>
      <c r="Q30" s="20">
        <f t="shared" si="57"/>
        <v>475.31</v>
      </c>
      <c r="R30" s="47">
        <f t="shared" si="30"/>
        <v>4.1110012412951591E-2</v>
      </c>
      <c r="S30" s="46" t="e">
        <f t="shared" si="35"/>
        <v>#VALUE!</v>
      </c>
      <c r="T30" s="46">
        <f t="shared" si="58"/>
        <v>3872.59</v>
      </c>
      <c r="U30" s="46" t="e">
        <f t="shared" si="36"/>
        <v>#VALUE!</v>
      </c>
      <c r="V30" s="46" t="e">
        <f t="shared" si="37"/>
        <v>#VALUE!</v>
      </c>
      <c r="W30" s="47" t="e">
        <f t="shared" si="38"/>
        <v>#VALUE!</v>
      </c>
      <c r="X30" s="20"/>
      <c r="Y30" s="20" t="s">
        <v>38</v>
      </c>
      <c r="Z30" s="49" t="e">
        <f t="shared" si="39"/>
        <v>#VALUE!</v>
      </c>
      <c r="AA30" s="46">
        <f t="shared" si="40"/>
        <v>4030.3</v>
      </c>
      <c r="AB30" s="46" t="e">
        <f t="shared" si="41"/>
        <v>#VALUE!</v>
      </c>
      <c r="AC30" s="48">
        <f t="shared" si="42"/>
        <v>455.77</v>
      </c>
      <c r="AD30" s="48">
        <f t="shared" si="43"/>
        <v>475.31</v>
      </c>
      <c r="AE30" s="47">
        <f t="shared" si="31"/>
        <v>4.1110012412951591E-2</v>
      </c>
      <c r="AF30" s="46" t="e">
        <f t="shared" si="44"/>
        <v>#VALUE!</v>
      </c>
      <c r="AG30" s="46">
        <f t="shared" si="59"/>
        <v>3872.59</v>
      </c>
      <c r="AH30" s="46" t="e">
        <f t="shared" si="45"/>
        <v>#VALUE!</v>
      </c>
      <c r="AI30" s="46" t="e">
        <f t="shared" si="46"/>
        <v>#VALUE!</v>
      </c>
      <c r="AJ30" s="47" t="e">
        <f t="shared" si="47"/>
        <v>#VALUE!</v>
      </c>
      <c r="AL30" s="20" t="s">
        <v>38</v>
      </c>
      <c r="AM30" s="49">
        <f t="shared" si="48"/>
        <v>0</v>
      </c>
      <c r="AN30" s="46">
        <f t="shared" si="49"/>
        <v>4030.3</v>
      </c>
      <c r="AO30" s="46">
        <f t="shared" si="50"/>
        <v>0</v>
      </c>
      <c r="AP30" s="48">
        <f t="shared" si="51"/>
        <v>455.77</v>
      </c>
      <c r="AQ30" s="48">
        <f t="shared" si="52"/>
        <v>475.31</v>
      </c>
      <c r="AR30" s="47">
        <f t="shared" si="32"/>
        <v>4.1110012412951591E-2</v>
      </c>
      <c r="AS30" s="46">
        <f t="shared" si="53"/>
        <v>0</v>
      </c>
      <c r="AT30" s="46">
        <f t="shared" si="60"/>
        <v>3872.59</v>
      </c>
      <c r="AU30" s="46">
        <f t="shared" si="54"/>
        <v>0</v>
      </c>
      <c r="AV30" s="46">
        <f t="shared" si="55"/>
        <v>0</v>
      </c>
      <c r="AW30" s="47" t="e">
        <f t="shared" si="56"/>
        <v>#DIV/0!</v>
      </c>
      <c r="AY30" s="1" t="str">
        <f t="shared" si="4"/>
        <v>agosto2022</v>
      </c>
      <c r="AZ30" s="1" t="s">
        <v>67</v>
      </c>
      <c r="BA30" s="1">
        <v>2022</v>
      </c>
      <c r="BB30" s="59">
        <v>44569</v>
      </c>
      <c r="BC30" s="60">
        <v>4423</v>
      </c>
      <c r="BD30" s="60">
        <v>4287</v>
      </c>
      <c r="BE30" s="60">
        <v>4447.29</v>
      </c>
      <c r="BF30" s="60">
        <v>4154.4399999999996</v>
      </c>
      <c r="BH30" s="61">
        <v>3.4000000000000002E-2</v>
      </c>
    </row>
    <row r="31" spans="1:60" x14ac:dyDescent="0.25">
      <c r="A31" s="1" t="str">
        <f t="shared" si="0"/>
        <v>julio2022</v>
      </c>
      <c r="B31" s="1" t="s">
        <v>69</v>
      </c>
      <c r="C31" s="1">
        <v>2022</v>
      </c>
      <c r="D31" s="62">
        <v>44568</v>
      </c>
      <c r="E31" s="1">
        <v>411.99</v>
      </c>
      <c r="F31" s="1">
        <v>376.56</v>
      </c>
      <c r="G31" s="1">
        <v>413.03</v>
      </c>
      <c r="H31" s="1">
        <v>371.04</v>
      </c>
      <c r="I31" s="1" t="s">
        <v>96</v>
      </c>
      <c r="J31" s="1">
        <v>9.2100000000000001E-2</v>
      </c>
      <c r="L31" s="20"/>
      <c r="M31" s="46">
        <f>SUM(M19:M30)</f>
        <v>0</v>
      </c>
      <c r="N31" s="46"/>
      <c r="O31" s="46"/>
      <c r="P31" s="20"/>
      <c r="Q31" s="20"/>
      <c r="R31" s="47" t="e">
        <f>S31/M31</f>
        <v>#VALUE!</v>
      </c>
      <c r="S31" s="46" t="e">
        <f>SUM(S19:S30)</f>
        <v>#VALUE!</v>
      </c>
      <c r="T31" s="46"/>
      <c r="U31" s="46"/>
      <c r="V31" s="46" t="e">
        <f>SUM(V19:V30)</f>
        <v>#VALUE!</v>
      </c>
      <c r="W31" s="63" t="e">
        <f>V31/M31</f>
        <v>#VALUE!</v>
      </c>
      <c r="X31" s="20"/>
      <c r="Y31" s="20"/>
      <c r="Z31" s="46" t="e">
        <f>SUM(Z19:Z30)</f>
        <v>#VALUE!</v>
      </c>
      <c r="AA31" s="46"/>
      <c r="AB31" s="46"/>
      <c r="AC31" s="20"/>
      <c r="AD31" s="20"/>
      <c r="AE31" s="47" t="e">
        <f>AF31/Z31</f>
        <v>#VALUE!</v>
      </c>
      <c r="AF31" s="46" t="e">
        <f>SUM(AF19:AF30)</f>
        <v>#VALUE!</v>
      </c>
      <c r="AG31" s="46"/>
      <c r="AH31" s="46"/>
      <c r="AI31" s="46" t="e">
        <f>SUM(AI19:AI30)</f>
        <v>#VALUE!</v>
      </c>
      <c r="AJ31" s="63" t="e">
        <f>AI31/Z31</f>
        <v>#VALUE!</v>
      </c>
      <c r="AL31" s="20"/>
      <c r="AM31" s="46">
        <f>SUM(AM19:AM30)</f>
        <v>0</v>
      </c>
      <c r="AN31" s="46"/>
      <c r="AO31" s="46"/>
      <c r="AP31" s="20"/>
      <c r="AQ31" s="20"/>
      <c r="AR31" s="47" t="e">
        <f>AS31/AM31</f>
        <v>#DIV/0!</v>
      </c>
      <c r="AS31" s="46">
        <f>SUM(AS19:AS30)</f>
        <v>0</v>
      </c>
      <c r="AT31" s="46"/>
      <c r="AU31" s="46"/>
      <c r="AV31" s="46">
        <f>SUM(AV19:AV30)</f>
        <v>0</v>
      </c>
      <c r="AW31" s="63" t="e">
        <f>AV31/AM31</f>
        <v>#DIV/0!</v>
      </c>
      <c r="AY31" s="1" t="str">
        <f t="shared" si="4"/>
        <v>julio2022</v>
      </c>
      <c r="AZ31" s="1" t="s">
        <v>69</v>
      </c>
      <c r="BA31" s="1">
        <v>2022</v>
      </c>
      <c r="BB31" s="59">
        <v>44568</v>
      </c>
      <c r="BC31" s="60">
        <v>4277.6000000000004</v>
      </c>
      <c r="BD31" s="60">
        <v>4151.37</v>
      </c>
      <c r="BE31" s="60">
        <v>4665.21</v>
      </c>
      <c r="BF31" s="60">
        <v>4151.37</v>
      </c>
      <c r="BH31" s="61">
        <v>3.27E-2</v>
      </c>
    </row>
    <row r="32" spans="1:60" x14ac:dyDescent="0.25">
      <c r="A32" s="1" t="str">
        <f t="shared" si="0"/>
        <v>junio2022</v>
      </c>
      <c r="B32" s="1" t="s">
        <v>71</v>
      </c>
      <c r="C32" s="1">
        <v>2022</v>
      </c>
      <c r="D32" s="62">
        <v>44567</v>
      </c>
      <c r="E32" s="1">
        <v>377.25</v>
      </c>
      <c r="F32" s="1">
        <v>415.17</v>
      </c>
      <c r="G32" s="1">
        <v>417.44</v>
      </c>
      <c r="H32" s="1">
        <v>362.17</v>
      </c>
      <c r="I32" s="1" t="s">
        <v>97</v>
      </c>
      <c r="J32" s="1">
        <v>-8.6400000000000005E-2</v>
      </c>
      <c r="AY32" s="1" t="str">
        <f t="shared" si="4"/>
        <v>junio2022</v>
      </c>
      <c r="AZ32" s="1" t="s">
        <v>71</v>
      </c>
      <c r="BA32" s="1">
        <v>2022</v>
      </c>
      <c r="BB32" s="59">
        <v>44567</v>
      </c>
      <c r="BC32" s="60">
        <v>4141.97</v>
      </c>
      <c r="BD32" s="60">
        <v>3770</v>
      </c>
      <c r="BE32" s="60">
        <v>4179.8</v>
      </c>
      <c r="BF32" s="60">
        <v>3754.7</v>
      </c>
      <c r="BH32" s="61">
        <v>0.1014</v>
      </c>
    </row>
    <row r="33" spans="1:60" x14ac:dyDescent="0.25">
      <c r="A33" s="1" t="str">
        <f t="shared" si="0"/>
        <v>mayo2022</v>
      </c>
      <c r="B33" s="1" t="s">
        <v>73</v>
      </c>
      <c r="C33" s="1">
        <v>2022</v>
      </c>
      <c r="D33" s="62">
        <v>44566</v>
      </c>
      <c r="E33" s="1">
        <v>412.93</v>
      </c>
      <c r="F33" s="1">
        <v>412.07</v>
      </c>
      <c r="G33" s="1">
        <v>429.66</v>
      </c>
      <c r="H33" s="1">
        <v>380.54</v>
      </c>
      <c r="I33" s="1" t="s">
        <v>98</v>
      </c>
      <c r="J33" s="1">
        <v>2.3E-3</v>
      </c>
      <c r="L33" s="20" t="s">
        <v>43</v>
      </c>
      <c r="M33" s="20">
        <v>2022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Y33" s="1" t="str">
        <f t="shared" si="4"/>
        <v>mayo2022</v>
      </c>
      <c r="AZ33" s="1" t="s">
        <v>73</v>
      </c>
      <c r="BA33" s="1">
        <v>2022</v>
      </c>
      <c r="BB33" s="59">
        <v>44566</v>
      </c>
      <c r="BC33" s="60">
        <v>3760.6</v>
      </c>
      <c r="BD33" s="60">
        <v>3958</v>
      </c>
      <c r="BE33" s="60">
        <v>4133</v>
      </c>
      <c r="BF33" s="60">
        <v>3763.45</v>
      </c>
      <c r="BH33" s="61">
        <v>-4.82E-2</v>
      </c>
    </row>
    <row r="34" spans="1:60" x14ac:dyDescent="0.25">
      <c r="A34" s="1" t="str">
        <f t="shared" si="0"/>
        <v>abril2022</v>
      </c>
      <c r="B34" s="1" t="s">
        <v>75</v>
      </c>
      <c r="C34" s="1">
        <v>2022</v>
      </c>
      <c r="D34" s="62">
        <v>44565</v>
      </c>
      <c r="E34" s="1">
        <v>412</v>
      </c>
      <c r="F34" s="1">
        <v>453.31</v>
      </c>
      <c r="G34" s="1">
        <v>457.83</v>
      </c>
      <c r="H34" s="1">
        <v>411.21</v>
      </c>
      <c r="I34" s="1" t="s">
        <v>99</v>
      </c>
      <c r="J34" s="1">
        <v>-8.7800000000000003E-2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Y34" s="1" t="str">
        <f t="shared" si="4"/>
        <v>abril2022</v>
      </c>
      <c r="AZ34" s="1" t="s">
        <v>75</v>
      </c>
      <c r="BA34" s="1">
        <v>2022</v>
      </c>
      <c r="BB34" s="59">
        <v>44565</v>
      </c>
      <c r="BC34" s="60">
        <v>3950.95</v>
      </c>
      <c r="BD34" s="60">
        <v>3773</v>
      </c>
      <c r="BE34" s="60">
        <v>3999.75</v>
      </c>
      <c r="BF34" s="60">
        <v>3690</v>
      </c>
      <c r="BH34" s="61">
        <v>4.8599999999999997E-2</v>
      </c>
    </row>
    <row r="35" spans="1:60" x14ac:dyDescent="0.25">
      <c r="A35" s="1" t="str">
        <f t="shared" si="0"/>
        <v>marzo2022</v>
      </c>
      <c r="B35" s="1" t="s">
        <v>77</v>
      </c>
      <c r="C35" s="1">
        <v>2022</v>
      </c>
      <c r="D35" s="62">
        <v>44564</v>
      </c>
      <c r="E35" s="1">
        <v>451.64</v>
      </c>
      <c r="F35" s="1">
        <v>435.04</v>
      </c>
      <c r="G35" s="1">
        <v>462.07</v>
      </c>
      <c r="H35" s="1">
        <v>415.12</v>
      </c>
      <c r="I35" s="1" t="s">
        <v>100</v>
      </c>
      <c r="J35" s="1">
        <v>3.44E-2</v>
      </c>
      <c r="L35" s="20" t="s">
        <v>27</v>
      </c>
      <c r="M35" s="46" t="str">
        <f>M19</f>
        <v/>
      </c>
      <c r="N35" s="46">
        <f>VLOOKUP(_xlfn.CONCAT(L35,$M$33),'data S&amp;P500'!$AY$2:$BH$73,6,0)</f>
        <v>4070</v>
      </c>
      <c r="O35" s="46" t="e">
        <f>M35/N35</f>
        <v>#VALUE!</v>
      </c>
      <c r="P35" s="48">
        <f>VLOOKUP(_xlfn.CONCAT(L35,M33),'data S&amp;P500'!$A$2:$J$73,6,0)</f>
        <v>476.3</v>
      </c>
      <c r="Q35" s="20">
        <f>VLOOKUP(_xlfn.CONCAT(L46,M33),$A$1:$E$73,5,0)</f>
        <v>382.43</v>
      </c>
      <c r="R35" s="47">
        <f t="shared" ref="R35:R46" si="61">(Q35-P35)/Q35</f>
        <v>-0.24545668488350811</v>
      </c>
      <c r="S35" s="46" t="e">
        <f>O35*(1+R35)</f>
        <v>#VALUE!</v>
      </c>
      <c r="T35" s="46">
        <f>VLOOKUP(_xlfn.CONCAT(L46,M33),$AY$1:$BC$73,5,0)</f>
        <v>4847</v>
      </c>
      <c r="U35" s="46" t="e">
        <f>S35*T35</f>
        <v>#VALUE!</v>
      </c>
      <c r="V35" s="46" t="e">
        <f>U35-M35</f>
        <v>#VALUE!</v>
      </c>
      <c r="W35" s="47" t="e">
        <f>V35/M35</f>
        <v>#VALUE!</v>
      </c>
      <c r="X35" s="20"/>
      <c r="Y35" s="20" t="s">
        <v>27</v>
      </c>
      <c r="Z35" s="49" t="e">
        <f>Z19</f>
        <v>#VALUE!</v>
      </c>
      <c r="AA35" s="46">
        <f>N35</f>
        <v>4070</v>
      </c>
      <c r="AB35" s="46" t="e">
        <f>Z35/AA35</f>
        <v>#VALUE!</v>
      </c>
      <c r="AC35" s="48">
        <f>P35</f>
        <v>476.3</v>
      </c>
      <c r="AD35" s="48">
        <f>Q35</f>
        <v>382.43</v>
      </c>
      <c r="AE35" s="47">
        <f t="shared" ref="AE35:AE46" si="62">(AD35-AC35)/AD35</f>
        <v>-0.24545668488350811</v>
      </c>
      <c r="AF35" s="46" t="e">
        <f>AB35*(1+AE35)</f>
        <v>#VALUE!</v>
      </c>
      <c r="AG35" s="46">
        <f>T35</f>
        <v>4847</v>
      </c>
      <c r="AH35" s="46" t="e">
        <f>AF35*AG35</f>
        <v>#VALUE!</v>
      </c>
      <c r="AI35" s="46" t="e">
        <f>AH35-Z35</f>
        <v>#VALUE!</v>
      </c>
      <c r="AJ35" s="47" t="e">
        <f>AI35/Z35</f>
        <v>#VALUE!</v>
      </c>
      <c r="AL35" s="20" t="s">
        <v>27</v>
      </c>
      <c r="AM35" s="49">
        <f>AM19</f>
        <v>0</v>
      </c>
      <c r="AN35" s="46">
        <f>AA35</f>
        <v>4070</v>
      </c>
      <c r="AO35" s="46">
        <f>AM35/AN35</f>
        <v>0</v>
      </c>
      <c r="AP35" s="48">
        <f>AC35</f>
        <v>476.3</v>
      </c>
      <c r="AQ35" s="48">
        <f>AD35</f>
        <v>382.43</v>
      </c>
      <c r="AR35" s="47">
        <f t="shared" ref="AR35:AR46" si="63">(AQ35-AP35)/AQ35</f>
        <v>-0.24545668488350811</v>
      </c>
      <c r="AS35" s="46">
        <f>AO35*(1+AR35)</f>
        <v>0</v>
      </c>
      <c r="AT35" s="46">
        <f>AG35</f>
        <v>4847</v>
      </c>
      <c r="AU35" s="46">
        <f>AS35*AT35</f>
        <v>0</v>
      </c>
      <c r="AV35" s="46">
        <f>AU35-AM35</f>
        <v>0</v>
      </c>
      <c r="AW35" s="47" t="e">
        <f>AV35/AM35</f>
        <v>#DIV/0!</v>
      </c>
      <c r="AY35" s="1" t="str">
        <f t="shared" si="4"/>
        <v>marzo2022</v>
      </c>
      <c r="AZ35" s="1" t="s">
        <v>77</v>
      </c>
      <c r="BA35" s="1">
        <v>2022</v>
      </c>
      <c r="BB35" s="59">
        <v>44564</v>
      </c>
      <c r="BC35" s="60">
        <v>3767.82</v>
      </c>
      <c r="BD35" s="60">
        <v>3937</v>
      </c>
      <c r="BE35" s="60">
        <v>3947</v>
      </c>
      <c r="BF35" s="60">
        <v>3727.8</v>
      </c>
      <c r="BH35" s="61">
        <v>-4.2000000000000003E-2</v>
      </c>
    </row>
    <row r="36" spans="1:60" x14ac:dyDescent="0.25">
      <c r="A36" s="1" t="str">
        <f t="shared" si="0"/>
        <v>febrero2022</v>
      </c>
      <c r="B36" s="1" t="s">
        <v>79</v>
      </c>
      <c r="C36" s="1">
        <v>2022</v>
      </c>
      <c r="D36" s="62">
        <v>44563</v>
      </c>
      <c r="E36" s="1">
        <v>436.63</v>
      </c>
      <c r="F36" s="1">
        <v>450.68</v>
      </c>
      <c r="G36" s="1">
        <v>458.12</v>
      </c>
      <c r="H36" s="1">
        <v>410.64</v>
      </c>
      <c r="I36" s="1" t="s">
        <v>101</v>
      </c>
      <c r="J36" s="1">
        <v>-2.9499999999999998E-2</v>
      </c>
      <c r="L36" s="20" t="s">
        <v>28</v>
      </c>
      <c r="M36" s="46" t="str">
        <f t="shared" ref="M36:M46" si="64">M20</f>
        <v/>
      </c>
      <c r="N36" s="46">
        <f>VLOOKUP(_xlfn.CONCAT(L36,$M$33),'data S&amp;P500'!$AY$2:$BH$73,6,0)</f>
        <v>3947.78</v>
      </c>
      <c r="O36" s="46" t="e">
        <f t="shared" ref="O36:O46" si="65">M36/N36</f>
        <v>#VALUE!</v>
      </c>
      <c r="P36" s="48">
        <f>VLOOKUP(_xlfn.CONCAT(L36,M33),'data S&amp;P500'!$A$2:$J$73,6,0)</f>
        <v>450.68</v>
      </c>
      <c r="Q36" s="20">
        <f>Q35</f>
        <v>382.43</v>
      </c>
      <c r="R36" s="47">
        <f t="shared" si="61"/>
        <v>-0.17846403263342311</v>
      </c>
      <c r="S36" s="46" t="e">
        <f t="shared" ref="S36:S46" si="66">O36*(1+R36)</f>
        <v>#VALUE!</v>
      </c>
      <c r="T36" s="46">
        <f>T35</f>
        <v>4847</v>
      </c>
      <c r="U36" s="46" t="e">
        <f t="shared" ref="U36:U46" si="67">T36*S36</f>
        <v>#VALUE!</v>
      </c>
      <c r="V36" s="46" t="e">
        <f t="shared" ref="V36:V46" si="68">U36-M36</f>
        <v>#VALUE!</v>
      </c>
      <c r="W36" s="47" t="e">
        <f t="shared" ref="W36:W46" si="69">V36/M36</f>
        <v>#VALUE!</v>
      </c>
      <c r="X36" s="20"/>
      <c r="Y36" s="20" t="s">
        <v>28</v>
      </c>
      <c r="Z36" s="49" t="e">
        <f t="shared" ref="Z36:Z46" si="70">Z20</f>
        <v>#VALUE!</v>
      </c>
      <c r="AA36" s="46">
        <f t="shared" ref="AA36:AA46" si="71">N36</f>
        <v>3947.78</v>
      </c>
      <c r="AB36" s="46" t="e">
        <f t="shared" ref="AB36:AB46" si="72">Z36/AA36</f>
        <v>#VALUE!</v>
      </c>
      <c r="AC36" s="48">
        <f t="shared" ref="AC36:AC46" si="73">P36</f>
        <v>450.68</v>
      </c>
      <c r="AD36" s="48">
        <f t="shared" ref="AD36:AD46" si="74">Q36</f>
        <v>382.43</v>
      </c>
      <c r="AE36" s="47">
        <f t="shared" si="62"/>
        <v>-0.17846403263342311</v>
      </c>
      <c r="AF36" s="46" t="e">
        <f t="shared" ref="AF36:AF46" si="75">AB36*(1+AE36)</f>
        <v>#VALUE!</v>
      </c>
      <c r="AG36" s="46">
        <f>AG35</f>
        <v>4847</v>
      </c>
      <c r="AH36" s="46" t="e">
        <f t="shared" ref="AH36:AH46" si="76">AG36*AF36</f>
        <v>#VALUE!</v>
      </c>
      <c r="AI36" s="46" t="e">
        <f t="shared" ref="AI36:AI46" si="77">AH36-Z36</f>
        <v>#VALUE!</v>
      </c>
      <c r="AJ36" s="47" t="e">
        <f t="shared" ref="AJ36:AJ46" si="78">AI36/Z36</f>
        <v>#VALUE!</v>
      </c>
      <c r="AL36" s="20" t="s">
        <v>28</v>
      </c>
      <c r="AM36" s="49">
        <f t="shared" ref="AM36:AM46" si="79">AM20</f>
        <v>0</v>
      </c>
      <c r="AN36" s="46">
        <f t="shared" ref="AN36:AN46" si="80">AA36</f>
        <v>3947.78</v>
      </c>
      <c r="AO36" s="46">
        <f t="shared" ref="AO36:AO46" si="81">AM36/AN36</f>
        <v>0</v>
      </c>
      <c r="AP36" s="48">
        <f t="shared" ref="AP36:AP46" si="82">AC36</f>
        <v>450.68</v>
      </c>
      <c r="AQ36" s="48">
        <f t="shared" ref="AQ36:AQ46" si="83">AD36</f>
        <v>382.43</v>
      </c>
      <c r="AR36" s="47">
        <f t="shared" si="63"/>
        <v>-0.17846403263342311</v>
      </c>
      <c r="AS36" s="46">
        <f t="shared" ref="AS36:AS46" si="84">AO36*(1+AR36)</f>
        <v>0</v>
      </c>
      <c r="AT36" s="46">
        <f>AT35</f>
        <v>4847</v>
      </c>
      <c r="AU36" s="46">
        <f t="shared" ref="AU36:AU46" si="85">AT36*AS36</f>
        <v>0</v>
      </c>
      <c r="AV36" s="46">
        <f t="shared" ref="AV36:AV46" si="86">AU36-AM36</f>
        <v>0</v>
      </c>
      <c r="AW36" s="47" t="e">
        <f t="shared" ref="AW36:AW46" si="87">AV36/AM36</f>
        <v>#DIV/0!</v>
      </c>
      <c r="AY36" s="1" t="str">
        <f t="shared" si="4"/>
        <v>febrero2022</v>
      </c>
      <c r="AZ36" s="1" t="s">
        <v>79</v>
      </c>
      <c r="BA36" s="1">
        <v>2022</v>
      </c>
      <c r="BB36" s="59">
        <v>44563</v>
      </c>
      <c r="BC36" s="60">
        <v>3933.01</v>
      </c>
      <c r="BD36" s="60">
        <v>3947.78</v>
      </c>
      <c r="BE36" s="60">
        <v>3983</v>
      </c>
      <c r="BF36" s="60">
        <v>3894.21</v>
      </c>
      <c r="BH36" s="61">
        <v>-2.0999999999999999E-3</v>
      </c>
    </row>
    <row r="37" spans="1:60" x14ac:dyDescent="0.25">
      <c r="A37" s="1" t="str">
        <f t="shared" si="0"/>
        <v>enero2022</v>
      </c>
      <c r="B37" s="1" t="s">
        <v>81</v>
      </c>
      <c r="C37" s="1">
        <v>2022</v>
      </c>
      <c r="D37" s="62">
        <v>44562</v>
      </c>
      <c r="E37" s="1">
        <v>449.91</v>
      </c>
      <c r="F37" s="1">
        <v>476.3</v>
      </c>
      <c r="G37" s="1">
        <v>479.98</v>
      </c>
      <c r="H37" s="1">
        <v>420.76</v>
      </c>
      <c r="I37" s="1" t="s">
        <v>102</v>
      </c>
      <c r="J37" s="1">
        <v>-5.2699999999999997E-2</v>
      </c>
      <c r="L37" s="20" t="s">
        <v>29</v>
      </c>
      <c r="M37" s="46" t="str">
        <f t="shared" si="64"/>
        <v/>
      </c>
      <c r="N37" s="46">
        <f>VLOOKUP(_xlfn.CONCAT(L37,$M$33),'data S&amp;P500'!$AY$2:$BH$73,6,0)</f>
        <v>3937</v>
      </c>
      <c r="O37" s="46" t="e">
        <f t="shared" si="65"/>
        <v>#VALUE!</v>
      </c>
      <c r="P37" s="48">
        <f>VLOOKUP(_xlfn.CONCAT(L37,M33),'data S&amp;P500'!$A$2:$J$73,6,0)</f>
        <v>435.04</v>
      </c>
      <c r="Q37" s="20">
        <f t="shared" ref="Q37:Q46" si="88">Q36</f>
        <v>382.43</v>
      </c>
      <c r="R37" s="47">
        <f t="shared" si="61"/>
        <v>-0.13756765944094348</v>
      </c>
      <c r="S37" s="46" t="e">
        <f t="shared" si="66"/>
        <v>#VALUE!</v>
      </c>
      <c r="T37" s="46">
        <f t="shared" ref="T37:T46" si="89">T36</f>
        <v>4847</v>
      </c>
      <c r="U37" s="46" t="e">
        <f t="shared" si="67"/>
        <v>#VALUE!</v>
      </c>
      <c r="V37" s="46" t="e">
        <f t="shared" si="68"/>
        <v>#VALUE!</v>
      </c>
      <c r="W37" s="47" t="e">
        <f t="shared" si="69"/>
        <v>#VALUE!</v>
      </c>
      <c r="X37" s="20"/>
      <c r="Y37" s="20" t="s">
        <v>29</v>
      </c>
      <c r="Z37" s="49" t="e">
        <f t="shared" si="70"/>
        <v>#VALUE!</v>
      </c>
      <c r="AA37" s="46">
        <f t="shared" si="71"/>
        <v>3937</v>
      </c>
      <c r="AB37" s="46" t="e">
        <f t="shared" si="72"/>
        <v>#VALUE!</v>
      </c>
      <c r="AC37" s="48">
        <f t="shared" si="73"/>
        <v>435.04</v>
      </c>
      <c r="AD37" s="48">
        <f t="shared" si="74"/>
        <v>382.43</v>
      </c>
      <c r="AE37" s="47">
        <f t="shared" si="62"/>
        <v>-0.13756765944094348</v>
      </c>
      <c r="AF37" s="46" t="e">
        <f t="shared" si="75"/>
        <v>#VALUE!</v>
      </c>
      <c r="AG37" s="46">
        <f t="shared" ref="AG37:AG46" si="90">AG36</f>
        <v>4847</v>
      </c>
      <c r="AH37" s="46" t="e">
        <f t="shared" si="76"/>
        <v>#VALUE!</v>
      </c>
      <c r="AI37" s="46" t="e">
        <f t="shared" si="77"/>
        <v>#VALUE!</v>
      </c>
      <c r="AJ37" s="47" t="e">
        <f t="shared" si="78"/>
        <v>#VALUE!</v>
      </c>
      <c r="AL37" s="20" t="s">
        <v>29</v>
      </c>
      <c r="AM37" s="49">
        <f t="shared" si="79"/>
        <v>0</v>
      </c>
      <c r="AN37" s="46">
        <f t="shared" si="80"/>
        <v>3937</v>
      </c>
      <c r="AO37" s="46">
        <f t="shared" si="81"/>
        <v>0</v>
      </c>
      <c r="AP37" s="48">
        <f t="shared" si="82"/>
        <v>435.04</v>
      </c>
      <c r="AQ37" s="48">
        <f t="shared" si="83"/>
        <v>382.43</v>
      </c>
      <c r="AR37" s="47">
        <f t="shared" si="63"/>
        <v>-0.13756765944094348</v>
      </c>
      <c r="AS37" s="46">
        <f t="shared" si="84"/>
        <v>0</v>
      </c>
      <c r="AT37" s="46">
        <f t="shared" ref="AT37:AT46" si="91">AT36</f>
        <v>4847</v>
      </c>
      <c r="AU37" s="46">
        <f t="shared" si="85"/>
        <v>0</v>
      </c>
      <c r="AV37" s="46">
        <f t="shared" si="86"/>
        <v>0</v>
      </c>
      <c r="AW37" s="47" t="e">
        <f t="shared" si="87"/>
        <v>#DIV/0!</v>
      </c>
      <c r="AY37" s="1" t="str">
        <f t="shared" si="4"/>
        <v>enero2022</v>
      </c>
      <c r="AZ37" s="1" t="s">
        <v>81</v>
      </c>
      <c r="BA37" s="1">
        <v>2022</v>
      </c>
      <c r="BB37" s="59">
        <v>44562</v>
      </c>
      <c r="BC37" s="60">
        <v>3941.41</v>
      </c>
      <c r="BD37" s="60">
        <v>4070</v>
      </c>
      <c r="BE37" s="60">
        <v>4105.5</v>
      </c>
      <c r="BF37" s="60">
        <v>3923.61</v>
      </c>
      <c r="BH37" s="61">
        <v>-3.0499999999999999E-2</v>
      </c>
    </row>
    <row r="38" spans="1:60" x14ac:dyDescent="0.25">
      <c r="A38" s="1" t="str">
        <f t="shared" si="0"/>
        <v>diciembre2021</v>
      </c>
      <c r="B38" s="1" t="s">
        <v>59</v>
      </c>
      <c r="C38" s="1">
        <v>2021</v>
      </c>
      <c r="D38" s="62">
        <v>44208</v>
      </c>
      <c r="E38" s="1">
        <v>474.96</v>
      </c>
      <c r="F38" s="1">
        <v>461.64</v>
      </c>
      <c r="G38" s="1">
        <v>479</v>
      </c>
      <c r="H38" s="1">
        <v>448.92</v>
      </c>
      <c r="I38" s="1" t="s">
        <v>103</v>
      </c>
      <c r="J38" s="1">
        <v>4.2599999999999999E-2</v>
      </c>
      <c r="L38" s="20" t="s">
        <v>30</v>
      </c>
      <c r="M38" s="46" t="str">
        <f t="shared" si="64"/>
        <v/>
      </c>
      <c r="N38" s="46">
        <f>VLOOKUP(_xlfn.CONCAT(L38,$M$33),'data S&amp;P500'!$AY$2:$BH$73,6,0)</f>
        <v>3773</v>
      </c>
      <c r="O38" s="46" t="e">
        <f t="shared" si="65"/>
        <v>#VALUE!</v>
      </c>
      <c r="P38" s="48">
        <f>VLOOKUP(_xlfn.CONCAT(L38,M33),'data S&amp;P500'!$A$2:$J$73,6,0)</f>
        <v>453.31</v>
      </c>
      <c r="Q38" s="20">
        <f t="shared" si="88"/>
        <v>382.43</v>
      </c>
      <c r="R38" s="47">
        <f t="shared" si="61"/>
        <v>-0.18534110817665977</v>
      </c>
      <c r="S38" s="46" t="e">
        <f t="shared" si="66"/>
        <v>#VALUE!</v>
      </c>
      <c r="T38" s="46">
        <f t="shared" si="89"/>
        <v>4847</v>
      </c>
      <c r="U38" s="46" t="e">
        <f t="shared" si="67"/>
        <v>#VALUE!</v>
      </c>
      <c r="V38" s="46" t="e">
        <f t="shared" si="68"/>
        <v>#VALUE!</v>
      </c>
      <c r="W38" s="47" t="e">
        <f t="shared" si="69"/>
        <v>#VALUE!</v>
      </c>
      <c r="X38" s="20"/>
      <c r="Y38" s="20" t="s">
        <v>30</v>
      </c>
      <c r="Z38" s="49" t="e">
        <f t="shared" si="70"/>
        <v>#VALUE!</v>
      </c>
      <c r="AA38" s="46">
        <f t="shared" si="71"/>
        <v>3773</v>
      </c>
      <c r="AB38" s="46" t="e">
        <f t="shared" si="72"/>
        <v>#VALUE!</v>
      </c>
      <c r="AC38" s="48">
        <f t="shared" si="73"/>
        <v>453.31</v>
      </c>
      <c r="AD38" s="48">
        <f t="shared" si="74"/>
        <v>382.43</v>
      </c>
      <c r="AE38" s="47">
        <f t="shared" si="62"/>
        <v>-0.18534110817665977</v>
      </c>
      <c r="AF38" s="46" t="e">
        <f t="shared" si="75"/>
        <v>#VALUE!</v>
      </c>
      <c r="AG38" s="46">
        <f t="shared" si="90"/>
        <v>4847</v>
      </c>
      <c r="AH38" s="46" t="e">
        <f t="shared" si="76"/>
        <v>#VALUE!</v>
      </c>
      <c r="AI38" s="46" t="e">
        <f t="shared" si="77"/>
        <v>#VALUE!</v>
      </c>
      <c r="AJ38" s="47" t="e">
        <f t="shared" si="78"/>
        <v>#VALUE!</v>
      </c>
      <c r="AL38" s="20" t="s">
        <v>30</v>
      </c>
      <c r="AM38" s="49">
        <f t="shared" si="79"/>
        <v>0</v>
      </c>
      <c r="AN38" s="46">
        <f t="shared" si="80"/>
        <v>3773</v>
      </c>
      <c r="AO38" s="46">
        <f t="shared" si="81"/>
        <v>0</v>
      </c>
      <c r="AP38" s="48">
        <f t="shared" si="82"/>
        <v>453.31</v>
      </c>
      <c r="AQ38" s="48">
        <f t="shared" si="83"/>
        <v>382.43</v>
      </c>
      <c r="AR38" s="47">
        <f t="shared" si="63"/>
        <v>-0.18534110817665977</v>
      </c>
      <c r="AS38" s="46">
        <f t="shared" si="84"/>
        <v>0</v>
      </c>
      <c r="AT38" s="46">
        <f t="shared" si="91"/>
        <v>4847</v>
      </c>
      <c r="AU38" s="46">
        <f t="shared" si="85"/>
        <v>0</v>
      </c>
      <c r="AV38" s="46">
        <f t="shared" si="86"/>
        <v>0</v>
      </c>
      <c r="AW38" s="47" t="e">
        <f t="shared" si="87"/>
        <v>#DIV/0!</v>
      </c>
      <c r="AY38" s="1" t="str">
        <f t="shared" si="4"/>
        <v>diciembre2021</v>
      </c>
      <c r="AZ38" s="1" t="s">
        <v>59</v>
      </c>
      <c r="BA38" s="1">
        <v>2021</v>
      </c>
      <c r="BB38" s="59">
        <v>44208</v>
      </c>
      <c r="BC38" s="60">
        <v>4065.41</v>
      </c>
      <c r="BD38" s="60">
        <v>3995</v>
      </c>
      <c r="BE38" s="60">
        <v>4075.74</v>
      </c>
      <c r="BF38" s="60">
        <v>3875.8</v>
      </c>
      <c r="BH38" s="61">
        <v>1.83E-2</v>
      </c>
    </row>
    <row r="39" spans="1:60" x14ac:dyDescent="0.25">
      <c r="A39" s="1" t="str">
        <f t="shared" si="0"/>
        <v>noviembre2021</v>
      </c>
      <c r="B39" s="1" t="s">
        <v>61</v>
      </c>
      <c r="C39" s="1">
        <v>2021</v>
      </c>
      <c r="D39" s="62">
        <v>44207</v>
      </c>
      <c r="E39" s="1">
        <v>455.56</v>
      </c>
      <c r="F39" s="1">
        <v>460.3</v>
      </c>
      <c r="G39" s="1">
        <v>473.54</v>
      </c>
      <c r="H39" s="1">
        <v>455.3</v>
      </c>
      <c r="I39" s="1" t="s">
        <v>104</v>
      </c>
      <c r="J39" s="1">
        <v>-8.0000000000000002E-3</v>
      </c>
      <c r="L39" s="20" t="s">
        <v>31</v>
      </c>
      <c r="M39" s="46" t="str">
        <f t="shared" si="64"/>
        <v/>
      </c>
      <c r="N39" s="46">
        <f>VLOOKUP(_xlfn.CONCAT(L39,$M$33),'data S&amp;P500'!$AY$2:$BH$73,6,0)</f>
        <v>3958</v>
      </c>
      <c r="O39" s="46" t="e">
        <f t="shared" si="65"/>
        <v>#VALUE!</v>
      </c>
      <c r="P39" s="48">
        <f>VLOOKUP(_xlfn.CONCAT(L39,M33),'data S&amp;P500'!$A$2:$J$73,6,0)</f>
        <v>412.07</v>
      </c>
      <c r="Q39" s="20">
        <f t="shared" si="88"/>
        <v>382.43</v>
      </c>
      <c r="R39" s="47">
        <f t="shared" si="61"/>
        <v>-7.7504379886515137E-2</v>
      </c>
      <c r="S39" s="46" t="e">
        <f t="shared" si="66"/>
        <v>#VALUE!</v>
      </c>
      <c r="T39" s="46">
        <f t="shared" si="89"/>
        <v>4847</v>
      </c>
      <c r="U39" s="46" t="e">
        <f t="shared" si="67"/>
        <v>#VALUE!</v>
      </c>
      <c r="V39" s="46" t="e">
        <f t="shared" si="68"/>
        <v>#VALUE!</v>
      </c>
      <c r="W39" s="47" t="e">
        <f t="shared" si="69"/>
        <v>#VALUE!</v>
      </c>
      <c r="X39" s="20"/>
      <c r="Y39" s="20" t="s">
        <v>31</v>
      </c>
      <c r="Z39" s="49" t="e">
        <f t="shared" si="70"/>
        <v>#VALUE!</v>
      </c>
      <c r="AA39" s="46">
        <f t="shared" si="71"/>
        <v>3958</v>
      </c>
      <c r="AB39" s="46" t="e">
        <f t="shared" si="72"/>
        <v>#VALUE!</v>
      </c>
      <c r="AC39" s="48">
        <f t="shared" si="73"/>
        <v>412.07</v>
      </c>
      <c r="AD39" s="48">
        <f t="shared" si="74"/>
        <v>382.43</v>
      </c>
      <c r="AE39" s="47">
        <f t="shared" si="62"/>
        <v>-7.7504379886515137E-2</v>
      </c>
      <c r="AF39" s="46" t="e">
        <f t="shared" si="75"/>
        <v>#VALUE!</v>
      </c>
      <c r="AG39" s="46">
        <f t="shared" si="90"/>
        <v>4847</v>
      </c>
      <c r="AH39" s="46" t="e">
        <f t="shared" si="76"/>
        <v>#VALUE!</v>
      </c>
      <c r="AI39" s="46" t="e">
        <f t="shared" si="77"/>
        <v>#VALUE!</v>
      </c>
      <c r="AJ39" s="47" t="e">
        <f t="shared" si="78"/>
        <v>#VALUE!</v>
      </c>
      <c r="AL39" s="20" t="s">
        <v>31</v>
      </c>
      <c r="AM39" s="49">
        <f t="shared" si="79"/>
        <v>0</v>
      </c>
      <c r="AN39" s="46">
        <f t="shared" si="80"/>
        <v>3958</v>
      </c>
      <c r="AO39" s="46">
        <f t="shared" si="81"/>
        <v>0</v>
      </c>
      <c r="AP39" s="48">
        <f t="shared" si="82"/>
        <v>412.07</v>
      </c>
      <c r="AQ39" s="48">
        <f t="shared" si="83"/>
        <v>382.43</v>
      </c>
      <c r="AR39" s="47">
        <f t="shared" si="63"/>
        <v>-7.7504379886515137E-2</v>
      </c>
      <c r="AS39" s="46">
        <f t="shared" si="84"/>
        <v>0</v>
      </c>
      <c r="AT39" s="46">
        <f t="shared" si="91"/>
        <v>4847</v>
      </c>
      <c r="AU39" s="46">
        <f t="shared" si="85"/>
        <v>0</v>
      </c>
      <c r="AV39" s="46">
        <f t="shared" si="86"/>
        <v>0</v>
      </c>
      <c r="AW39" s="47" t="e">
        <f t="shared" si="87"/>
        <v>#DIV/0!</v>
      </c>
      <c r="AY39" s="1" t="str">
        <f t="shared" si="4"/>
        <v>noviembre2021</v>
      </c>
      <c r="AZ39" s="1" t="s">
        <v>61</v>
      </c>
      <c r="BA39" s="1">
        <v>2021</v>
      </c>
      <c r="BB39" s="59">
        <v>44207</v>
      </c>
      <c r="BC39" s="60">
        <v>3992.2</v>
      </c>
      <c r="BD39" s="60">
        <v>3760</v>
      </c>
      <c r="BE39" s="60">
        <v>4040</v>
      </c>
      <c r="BF39" s="60">
        <v>3757.03</v>
      </c>
      <c r="BH39" s="61">
        <v>6.25E-2</v>
      </c>
    </row>
    <row r="40" spans="1:60" x14ac:dyDescent="0.25">
      <c r="A40" s="1" t="str">
        <f t="shared" si="0"/>
        <v>octubre2021</v>
      </c>
      <c r="B40" s="1" t="s">
        <v>63</v>
      </c>
      <c r="C40" s="1">
        <v>2021</v>
      </c>
      <c r="D40" s="62">
        <v>44206</v>
      </c>
      <c r="E40" s="1">
        <v>459.25</v>
      </c>
      <c r="F40" s="1">
        <v>430.98</v>
      </c>
      <c r="G40" s="1">
        <v>459.56</v>
      </c>
      <c r="H40" s="1">
        <v>426.36</v>
      </c>
      <c r="I40" s="1" t="s">
        <v>105</v>
      </c>
      <c r="J40" s="1">
        <v>7.0199999999999999E-2</v>
      </c>
      <c r="L40" s="20" t="s">
        <v>32</v>
      </c>
      <c r="M40" s="46" t="str">
        <f t="shared" si="64"/>
        <v/>
      </c>
      <c r="N40" s="46">
        <f>VLOOKUP(_xlfn.CONCAT(L40,$M$33),'data S&amp;P500'!$AY$2:$BH$73,6,0)</f>
        <v>3770</v>
      </c>
      <c r="O40" s="46" t="e">
        <f t="shared" si="65"/>
        <v>#VALUE!</v>
      </c>
      <c r="P40" s="48">
        <f>VLOOKUP(_xlfn.CONCAT(L40,M33),'data S&amp;P500'!$A$2:$J$73,6,0)</f>
        <v>415.17</v>
      </c>
      <c r="Q40" s="20">
        <f t="shared" si="88"/>
        <v>382.43</v>
      </c>
      <c r="R40" s="47">
        <f t="shared" si="61"/>
        <v>-8.561043851162306E-2</v>
      </c>
      <c r="S40" s="46" t="e">
        <f t="shared" si="66"/>
        <v>#VALUE!</v>
      </c>
      <c r="T40" s="46">
        <f t="shared" si="89"/>
        <v>4847</v>
      </c>
      <c r="U40" s="46" t="e">
        <f t="shared" si="67"/>
        <v>#VALUE!</v>
      </c>
      <c r="V40" s="46" t="e">
        <f t="shared" si="68"/>
        <v>#VALUE!</v>
      </c>
      <c r="W40" s="47" t="e">
        <f t="shared" si="69"/>
        <v>#VALUE!</v>
      </c>
      <c r="X40" s="20"/>
      <c r="Y40" s="20" t="s">
        <v>32</v>
      </c>
      <c r="Z40" s="49" t="e">
        <f t="shared" si="70"/>
        <v>#VALUE!</v>
      </c>
      <c r="AA40" s="46">
        <f t="shared" si="71"/>
        <v>3770</v>
      </c>
      <c r="AB40" s="46" t="e">
        <f t="shared" si="72"/>
        <v>#VALUE!</v>
      </c>
      <c r="AC40" s="48">
        <f t="shared" si="73"/>
        <v>415.17</v>
      </c>
      <c r="AD40" s="48">
        <f t="shared" si="74"/>
        <v>382.43</v>
      </c>
      <c r="AE40" s="47">
        <f t="shared" si="62"/>
        <v>-8.561043851162306E-2</v>
      </c>
      <c r="AF40" s="46" t="e">
        <f t="shared" si="75"/>
        <v>#VALUE!</v>
      </c>
      <c r="AG40" s="46">
        <f t="shared" si="90"/>
        <v>4847</v>
      </c>
      <c r="AH40" s="46" t="e">
        <f t="shared" si="76"/>
        <v>#VALUE!</v>
      </c>
      <c r="AI40" s="46" t="e">
        <f t="shared" si="77"/>
        <v>#VALUE!</v>
      </c>
      <c r="AJ40" s="47" t="e">
        <f t="shared" si="78"/>
        <v>#VALUE!</v>
      </c>
      <c r="AL40" s="20" t="s">
        <v>32</v>
      </c>
      <c r="AM40" s="49">
        <f t="shared" si="79"/>
        <v>0</v>
      </c>
      <c r="AN40" s="46">
        <f t="shared" si="80"/>
        <v>3770</v>
      </c>
      <c r="AO40" s="46">
        <f t="shared" si="81"/>
        <v>0</v>
      </c>
      <c r="AP40" s="48">
        <f t="shared" si="82"/>
        <v>415.17</v>
      </c>
      <c r="AQ40" s="48">
        <f t="shared" si="83"/>
        <v>382.43</v>
      </c>
      <c r="AR40" s="47">
        <f t="shared" si="63"/>
        <v>-8.561043851162306E-2</v>
      </c>
      <c r="AS40" s="46">
        <f t="shared" si="84"/>
        <v>0</v>
      </c>
      <c r="AT40" s="46">
        <f t="shared" si="91"/>
        <v>4847</v>
      </c>
      <c r="AU40" s="46">
        <f t="shared" si="85"/>
        <v>0</v>
      </c>
      <c r="AV40" s="46">
        <f t="shared" si="86"/>
        <v>0</v>
      </c>
      <c r="AW40" s="47" t="e">
        <f t="shared" si="87"/>
        <v>#DIV/0!</v>
      </c>
      <c r="AY40" s="1" t="str">
        <f t="shared" si="4"/>
        <v>octubre2021</v>
      </c>
      <c r="AZ40" s="1" t="s">
        <v>63</v>
      </c>
      <c r="BA40" s="1">
        <v>2021</v>
      </c>
      <c r="BB40" s="59">
        <v>44206</v>
      </c>
      <c r="BC40" s="60">
        <v>3757.53</v>
      </c>
      <c r="BD40" s="60">
        <v>3807.8</v>
      </c>
      <c r="BE40" s="60">
        <v>3807.8</v>
      </c>
      <c r="BF40" s="60">
        <v>3713.5</v>
      </c>
      <c r="BH40" s="61">
        <v>-1.26E-2</v>
      </c>
    </row>
    <row r="41" spans="1:60" x14ac:dyDescent="0.25">
      <c r="A41" s="1" t="str">
        <f t="shared" si="0"/>
        <v>septiembre2021</v>
      </c>
      <c r="B41" s="1" t="s">
        <v>65</v>
      </c>
      <c r="C41" s="1">
        <v>2021</v>
      </c>
      <c r="D41" s="62">
        <v>44205</v>
      </c>
      <c r="E41" s="1">
        <v>429.14</v>
      </c>
      <c r="F41" s="1">
        <v>452.56</v>
      </c>
      <c r="G41" s="1">
        <v>454.05</v>
      </c>
      <c r="H41" s="1">
        <v>428.78</v>
      </c>
      <c r="I41" s="1" t="s">
        <v>88</v>
      </c>
      <c r="J41" s="1">
        <v>-4.9700000000000001E-2</v>
      </c>
      <c r="L41" s="20" t="s">
        <v>33</v>
      </c>
      <c r="M41" s="46" t="str">
        <f t="shared" si="64"/>
        <v/>
      </c>
      <c r="N41" s="46">
        <f>VLOOKUP(_xlfn.CONCAT(L41,$M$33),'data S&amp;P500'!$AY$2:$BH$73,6,0)</f>
        <v>4151.37</v>
      </c>
      <c r="O41" s="46" t="e">
        <f t="shared" si="65"/>
        <v>#VALUE!</v>
      </c>
      <c r="P41" s="48">
        <f>VLOOKUP(_xlfn.CONCAT(L41,M33),'data S&amp;P500'!$A$2:$J$73,6,0)</f>
        <v>376.56</v>
      </c>
      <c r="Q41" s="20">
        <f t="shared" si="88"/>
        <v>382.43</v>
      </c>
      <c r="R41" s="47">
        <f t="shared" si="61"/>
        <v>1.5349214235284901E-2</v>
      </c>
      <c r="S41" s="46" t="e">
        <f t="shared" si="66"/>
        <v>#VALUE!</v>
      </c>
      <c r="T41" s="46">
        <f t="shared" si="89"/>
        <v>4847</v>
      </c>
      <c r="U41" s="46" t="e">
        <f t="shared" si="67"/>
        <v>#VALUE!</v>
      </c>
      <c r="V41" s="46" t="e">
        <f t="shared" si="68"/>
        <v>#VALUE!</v>
      </c>
      <c r="W41" s="47" t="e">
        <f t="shared" si="69"/>
        <v>#VALUE!</v>
      </c>
      <c r="X41" s="20"/>
      <c r="Y41" s="20" t="s">
        <v>33</v>
      </c>
      <c r="Z41" s="49" t="e">
        <f t="shared" si="70"/>
        <v>#VALUE!</v>
      </c>
      <c r="AA41" s="46">
        <f t="shared" si="71"/>
        <v>4151.37</v>
      </c>
      <c r="AB41" s="46" t="e">
        <f t="shared" si="72"/>
        <v>#VALUE!</v>
      </c>
      <c r="AC41" s="48">
        <f t="shared" si="73"/>
        <v>376.56</v>
      </c>
      <c r="AD41" s="48">
        <f t="shared" si="74"/>
        <v>382.43</v>
      </c>
      <c r="AE41" s="47">
        <f t="shared" si="62"/>
        <v>1.5349214235284901E-2</v>
      </c>
      <c r="AF41" s="46" t="e">
        <f t="shared" si="75"/>
        <v>#VALUE!</v>
      </c>
      <c r="AG41" s="46">
        <f t="shared" si="90"/>
        <v>4847</v>
      </c>
      <c r="AH41" s="46" t="e">
        <f t="shared" si="76"/>
        <v>#VALUE!</v>
      </c>
      <c r="AI41" s="46" t="e">
        <f t="shared" si="77"/>
        <v>#VALUE!</v>
      </c>
      <c r="AJ41" s="47" t="e">
        <f t="shared" si="78"/>
        <v>#VALUE!</v>
      </c>
      <c r="AL41" s="20" t="s">
        <v>33</v>
      </c>
      <c r="AM41" s="49">
        <f t="shared" si="79"/>
        <v>0</v>
      </c>
      <c r="AN41" s="46">
        <f t="shared" si="80"/>
        <v>4151.37</v>
      </c>
      <c r="AO41" s="46">
        <f t="shared" si="81"/>
        <v>0</v>
      </c>
      <c r="AP41" s="48">
        <f t="shared" si="82"/>
        <v>376.56</v>
      </c>
      <c r="AQ41" s="48">
        <f t="shared" si="83"/>
        <v>382.43</v>
      </c>
      <c r="AR41" s="47">
        <f t="shared" si="63"/>
        <v>1.5349214235284901E-2</v>
      </c>
      <c r="AS41" s="46">
        <f t="shared" si="84"/>
        <v>0</v>
      </c>
      <c r="AT41" s="46">
        <f t="shared" si="91"/>
        <v>4847</v>
      </c>
      <c r="AU41" s="46">
        <f t="shared" si="85"/>
        <v>0</v>
      </c>
      <c r="AV41" s="46">
        <f t="shared" si="86"/>
        <v>0</v>
      </c>
      <c r="AW41" s="47" t="e">
        <f t="shared" si="87"/>
        <v>#DIV/0!</v>
      </c>
      <c r="AY41" s="1" t="str">
        <f t="shared" si="4"/>
        <v>septiembre2021</v>
      </c>
      <c r="AZ41" s="1" t="s">
        <v>65</v>
      </c>
      <c r="BA41" s="1">
        <v>2021</v>
      </c>
      <c r="BB41" s="59">
        <v>44205</v>
      </c>
      <c r="BC41" s="60">
        <v>3805.33</v>
      </c>
      <c r="BD41" s="60">
        <v>3769.15</v>
      </c>
      <c r="BE41" s="60">
        <v>3868.19</v>
      </c>
      <c r="BF41" s="60">
        <v>3738.9</v>
      </c>
      <c r="BH41" s="61">
        <v>1.03E-2</v>
      </c>
    </row>
    <row r="42" spans="1:60" x14ac:dyDescent="0.25">
      <c r="A42" s="1" t="str">
        <f t="shared" si="0"/>
        <v>agosto2021</v>
      </c>
      <c r="B42" s="1" t="s">
        <v>67</v>
      </c>
      <c r="C42" s="1">
        <v>2021</v>
      </c>
      <c r="D42" s="62">
        <v>44204</v>
      </c>
      <c r="E42" s="1">
        <v>451.56</v>
      </c>
      <c r="F42" s="1">
        <v>440.34</v>
      </c>
      <c r="G42" s="1">
        <v>453.07</v>
      </c>
      <c r="H42" s="1">
        <v>436.1</v>
      </c>
      <c r="I42" s="1" t="s">
        <v>106</v>
      </c>
      <c r="J42" s="1">
        <v>2.98E-2</v>
      </c>
      <c r="L42" s="20" t="s">
        <v>34</v>
      </c>
      <c r="M42" s="46" t="str">
        <f t="shared" si="64"/>
        <v/>
      </c>
      <c r="N42" s="46">
        <f>VLOOKUP(_xlfn.CONCAT(L42,$M$33),'data S&amp;P500'!$AY$2:$BH$73,6,0)</f>
        <v>4287</v>
      </c>
      <c r="O42" s="46" t="e">
        <f t="shared" si="65"/>
        <v>#VALUE!</v>
      </c>
      <c r="P42" s="48">
        <f>VLOOKUP(_xlfn.CONCAT(L42,M33),'data S&amp;P500'!$A$2:$J$73,6,0)</f>
        <v>409.15</v>
      </c>
      <c r="Q42" s="20">
        <f t="shared" si="88"/>
        <v>382.43</v>
      </c>
      <c r="R42" s="47">
        <f t="shared" si="61"/>
        <v>-6.98689956331877E-2</v>
      </c>
      <c r="S42" s="46" t="e">
        <f t="shared" si="66"/>
        <v>#VALUE!</v>
      </c>
      <c r="T42" s="46">
        <f t="shared" si="89"/>
        <v>4847</v>
      </c>
      <c r="U42" s="46" t="e">
        <f t="shared" si="67"/>
        <v>#VALUE!</v>
      </c>
      <c r="V42" s="46" t="e">
        <f t="shared" si="68"/>
        <v>#VALUE!</v>
      </c>
      <c r="W42" s="47" t="e">
        <f t="shared" si="69"/>
        <v>#VALUE!</v>
      </c>
      <c r="X42" s="20"/>
      <c r="Y42" s="20" t="s">
        <v>34</v>
      </c>
      <c r="Z42" s="49" t="e">
        <f t="shared" si="70"/>
        <v>#VALUE!</v>
      </c>
      <c r="AA42" s="46">
        <f t="shared" si="71"/>
        <v>4287</v>
      </c>
      <c r="AB42" s="46" t="e">
        <f t="shared" si="72"/>
        <v>#VALUE!</v>
      </c>
      <c r="AC42" s="48">
        <f t="shared" si="73"/>
        <v>409.15</v>
      </c>
      <c r="AD42" s="48">
        <f t="shared" si="74"/>
        <v>382.43</v>
      </c>
      <c r="AE42" s="47">
        <f t="shared" si="62"/>
        <v>-6.98689956331877E-2</v>
      </c>
      <c r="AF42" s="46" t="e">
        <f t="shared" si="75"/>
        <v>#VALUE!</v>
      </c>
      <c r="AG42" s="46">
        <f t="shared" si="90"/>
        <v>4847</v>
      </c>
      <c r="AH42" s="46" t="e">
        <f t="shared" si="76"/>
        <v>#VALUE!</v>
      </c>
      <c r="AI42" s="46" t="e">
        <f t="shared" si="77"/>
        <v>#VALUE!</v>
      </c>
      <c r="AJ42" s="47" t="e">
        <f t="shared" si="78"/>
        <v>#VALUE!</v>
      </c>
      <c r="AL42" s="20" t="s">
        <v>34</v>
      </c>
      <c r="AM42" s="49">
        <f t="shared" si="79"/>
        <v>0</v>
      </c>
      <c r="AN42" s="46">
        <f t="shared" si="80"/>
        <v>4287</v>
      </c>
      <c r="AO42" s="46">
        <f t="shared" si="81"/>
        <v>0</v>
      </c>
      <c r="AP42" s="48">
        <f t="shared" si="82"/>
        <v>409.15</v>
      </c>
      <c r="AQ42" s="48">
        <f t="shared" si="83"/>
        <v>382.43</v>
      </c>
      <c r="AR42" s="47">
        <f t="shared" si="63"/>
        <v>-6.98689956331877E-2</v>
      </c>
      <c r="AS42" s="46">
        <f t="shared" si="84"/>
        <v>0</v>
      </c>
      <c r="AT42" s="46">
        <f t="shared" si="91"/>
        <v>4847</v>
      </c>
      <c r="AU42" s="46">
        <f t="shared" si="85"/>
        <v>0</v>
      </c>
      <c r="AV42" s="46">
        <f t="shared" si="86"/>
        <v>0</v>
      </c>
      <c r="AW42" s="47" t="e">
        <f t="shared" si="87"/>
        <v>#DIV/0!</v>
      </c>
      <c r="AY42" s="1" t="str">
        <f t="shared" si="4"/>
        <v>agosto2021</v>
      </c>
      <c r="AZ42" s="1" t="s">
        <v>67</v>
      </c>
      <c r="BA42" s="1">
        <v>2021</v>
      </c>
      <c r="BB42" s="59">
        <v>44204</v>
      </c>
      <c r="BC42" s="60">
        <v>3766.68</v>
      </c>
      <c r="BD42" s="60">
        <v>3878</v>
      </c>
      <c r="BE42" s="60">
        <v>4009.14</v>
      </c>
      <c r="BF42" s="60">
        <v>3761.5</v>
      </c>
      <c r="BH42" s="61">
        <v>-2.7699999999999999E-2</v>
      </c>
    </row>
    <row r="43" spans="1:60" x14ac:dyDescent="0.25">
      <c r="A43" s="1" t="str">
        <f t="shared" si="0"/>
        <v>julio2021</v>
      </c>
      <c r="B43" s="1" t="s">
        <v>69</v>
      </c>
      <c r="C43" s="1">
        <v>2021</v>
      </c>
      <c r="D43" s="62">
        <v>44203</v>
      </c>
      <c r="E43" s="1">
        <v>438.51</v>
      </c>
      <c r="F43" s="1">
        <v>428.87</v>
      </c>
      <c r="G43" s="1">
        <v>441.8</v>
      </c>
      <c r="H43" s="1">
        <v>421.97</v>
      </c>
      <c r="I43" s="1" t="s">
        <v>107</v>
      </c>
      <c r="J43" s="1">
        <v>2.4400000000000002E-2</v>
      </c>
      <c r="L43" s="20" t="s">
        <v>35</v>
      </c>
      <c r="M43" s="46" t="str">
        <f t="shared" si="64"/>
        <v/>
      </c>
      <c r="N43" s="46">
        <f>VLOOKUP(_xlfn.CONCAT(L43,$M$33),'data S&amp;P500'!$AY$2:$BH$73,6,0)</f>
        <v>4429</v>
      </c>
      <c r="O43" s="46" t="e">
        <f t="shared" si="65"/>
        <v>#VALUE!</v>
      </c>
      <c r="P43" s="48">
        <f>VLOOKUP(_xlfn.CONCAT(L43,M33),'data S&amp;P500'!$A$2:$J$73,6,0)</f>
        <v>392.89</v>
      </c>
      <c r="Q43" s="20">
        <f t="shared" si="88"/>
        <v>382.43</v>
      </c>
      <c r="R43" s="47">
        <f t="shared" si="61"/>
        <v>-2.7351410715686478E-2</v>
      </c>
      <c r="S43" s="46" t="e">
        <f t="shared" si="66"/>
        <v>#VALUE!</v>
      </c>
      <c r="T43" s="46">
        <f t="shared" si="89"/>
        <v>4847</v>
      </c>
      <c r="U43" s="46" t="e">
        <f t="shared" si="67"/>
        <v>#VALUE!</v>
      </c>
      <c r="V43" s="46" t="e">
        <f t="shared" si="68"/>
        <v>#VALUE!</v>
      </c>
      <c r="W43" s="47" t="e">
        <f t="shared" si="69"/>
        <v>#VALUE!</v>
      </c>
      <c r="X43" s="20"/>
      <c r="Y43" s="20" t="s">
        <v>35</v>
      </c>
      <c r="Z43" s="49" t="e">
        <f t="shared" si="70"/>
        <v>#VALUE!</v>
      </c>
      <c r="AA43" s="46">
        <f t="shared" si="71"/>
        <v>4429</v>
      </c>
      <c r="AB43" s="46" t="e">
        <f t="shared" si="72"/>
        <v>#VALUE!</v>
      </c>
      <c r="AC43" s="48">
        <f t="shared" si="73"/>
        <v>392.89</v>
      </c>
      <c r="AD43" s="48">
        <f t="shared" si="74"/>
        <v>382.43</v>
      </c>
      <c r="AE43" s="47">
        <f t="shared" si="62"/>
        <v>-2.7351410715686478E-2</v>
      </c>
      <c r="AF43" s="46" t="e">
        <f t="shared" si="75"/>
        <v>#VALUE!</v>
      </c>
      <c r="AG43" s="46">
        <f t="shared" si="90"/>
        <v>4847</v>
      </c>
      <c r="AH43" s="46" t="e">
        <f t="shared" si="76"/>
        <v>#VALUE!</v>
      </c>
      <c r="AI43" s="46" t="e">
        <f t="shared" si="77"/>
        <v>#VALUE!</v>
      </c>
      <c r="AJ43" s="47" t="e">
        <f t="shared" si="78"/>
        <v>#VALUE!</v>
      </c>
      <c r="AL43" s="20" t="s">
        <v>35</v>
      </c>
      <c r="AM43" s="49">
        <f t="shared" si="79"/>
        <v>0</v>
      </c>
      <c r="AN43" s="46">
        <f t="shared" si="80"/>
        <v>4429</v>
      </c>
      <c r="AO43" s="46">
        <f t="shared" si="81"/>
        <v>0</v>
      </c>
      <c r="AP43" s="48">
        <f t="shared" si="82"/>
        <v>392.89</v>
      </c>
      <c r="AQ43" s="48">
        <f t="shared" si="83"/>
        <v>382.43</v>
      </c>
      <c r="AR43" s="47">
        <f t="shared" si="63"/>
        <v>-2.7351410715686478E-2</v>
      </c>
      <c r="AS43" s="46">
        <f t="shared" si="84"/>
        <v>0</v>
      </c>
      <c r="AT43" s="46">
        <f t="shared" si="91"/>
        <v>4847</v>
      </c>
      <c r="AU43" s="46">
        <f t="shared" si="85"/>
        <v>0</v>
      </c>
      <c r="AV43" s="46">
        <f t="shared" si="86"/>
        <v>0</v>
      </c>
      <c r="AW43" s="47" t="e">
        <f t="shared" si="87"/>
        <v>#DIV/0!</v>
      </c>
      <c r="AY43" s="1" t="str">
        <f t="shared" si="4"/>
        <v>julio2021</v>
      </c>
      <c r="AZ43" s="1" t="s">
        <v>69</v>
      </c>
      <c r="BA43" s="1">
        <v>2021</v>
      </c>
      <c r="BB43" s="59">
        <v>44203</v>
      </c>
      <c r="BC43" s="60">
        <v>3874</v>
      </c>
      <c r="BD43" s="60">
        <v>3750</v>
      </c>
      <c r="BE43" s="60">
        <v>3939.7</v>
      </c>
      <c r="BF43" s="60">
        <v>3725.8</v>
      </c>
      <c r="BH43" s="61">
        <v>3.39E-2</v>
      </c>
    </row>
    <row r="44" spans="1:60" x14ac:dyDescent="0.25">
      <c r="A44" s="1" t="str">
        <f t="shared" si="0"/>
        <v>junio2021</v>
      </c>
      <c r="B44" s="1" t="s">
        <v>71</v>
      </c>
      <c r="C44" s="1">
        <v>2021</v>
      </c>
      <c r="D44" s="62">
        <v>44202</v>
      </c>
      <c r="E44" s="1">
        <v>428.06</v>
      </c>
      <c r="F44" s="1">
        <v>422.57</v>
      </c>
      <c r="G44" s="1">
        <v>428.78</v>
      </c>
      <c r="H44" s="1">
        <v>414.7</v>
      </c>
      <c r="I44" s="1" t="s">
        <v>108</v>
      </c>
      <c r="J44" s="1">
        <v>1.9099999999999999E-2</v>
      </c>
      <c r="L44" s="20" t="s">
        <v>36</v>
      </c>
      <c r="M44" s="46" t="str">
        <f t="shared" si="64"/>
        <v/>
      </c>
      <c r="N44" s="46">
        <f>VLOOKUP(_xlfn.CONCAT(L44,$M$33),'data S&amp;P500'!$AY$2:$BH$73,6,0)</f>
        <v>4610</v>
      </c>
      <c r="O44" s="46" t="e">
        <f t="shared" si="65"/>
        <v>#VALUE!</v>
      </c>
      <c r="P44" s="48">
        <f>VLOOKUP(_xlfn.CONCAT(L44,M33),'data S&amp;P500'!$A$2:$J$73,6,0)</f>
        <v>361.08</v>
      </c>
      <c r="Q44" s="20">
        <f t="shared" si="88"/>
        <v>382.43</v>
      </c>
      <c r="R44" s="47">
        <f t="shared" si="61"/>
        <v>5.5827210208404213E-2</v>
      </c>
      <c r="S44" s="46" t="e">
        <f t="shared" si="66"/>
        <v>#VALUE!</v>
      </c>
      <c r="T44" s="46">
        <f t="shared" si="89"/>
        <v>4847</v>
      </c>
      <c r="U44" s="46" t="e">
        <f t="shared" si="67"/>
        <v>#VALUE!</v>
      </c>
      <c r="V44" s="46" t="e">
        <f t="shared" si="68"/>
        <v>#VALUE!</v>
      </c>
      <c r="W44" s="47" t="e">
        <f t="shared" si="69"/>
        <v>#VALUE!</v>
      </c>
      <c r="X44" s="20"/>
      <c r="Y44" s="20" t="s">
        <v>36</v>
      </c>
      <c r="Z44" s="49" t="e">
        <f t="shared" si="70"/>
        <v>#VALUE!</v>
      </c>
      <c r="AA44" s="46">
        <f t="shared" si="71"/>
        <v>4610</v>
      </c>
      <c r="AB44" s="46" t="e">
        <f t="shared" si="72"/>
        <v>#VALUE!</v>
      </c>
      <c r="AC44" s="48">
        <f t="shared" si="73"/>
        <v>361.08</v>
      </c>
      <c r="AD44" s="48">
        <f t="shared" si="74"/>
        <v>382.43</v>
      </c>
      <c r="AE44" s="47">
        <f t="shared" si="62"/>
        <v>5.5827210208404213E-2</v>
      </c>
      <c r="AF44" s="46" t="e">
        <f t="shared" si="75"/>
        <v>#VALUE!</v>
      </c>
      <c r="AG44" s="46">
        <f t="shared" si="90"/>
        <v>4847</v>
      </c>
      <c r="AH44" s="46" t="e">
        <f t="shared" si="76"/>
        <v>#VALUE!</v>
      </c>
      <c r="AI44" s="46" t="e">
        <f t="shared" si="77"/>
        <v>#VALUE!</v>
      </c>
      <c r="AJ44" s="47" t="e">
        <f t="shared" si="78"/>
        <v>#VALUE!</v>
      </c>
      <c r="AL44" s="20" t="s">
        <v>36</v>
      </c>
      <c r="AM44" s="49">
        <f t="shared" si="79"/>
        <v>0</v>
      </c>
      <c r="AN44" s="46">
        <f t="shared" si="80"/>
        <v>4610</v>
      </c>
      <c r="AO44" s="46">
        <f t="shared" si="81"/>
        <v>0</v>
      </c>
      <c r="AP44" s="48">
        <f t="shared" si="82"/>
        <v>361.08</v>
      </c>
      <c r="AQ44" s="48">
        <f t="shared" si="83"/>
        <v>382.43</v>
      </c>
      <c r="AR44" s="47">
        <f t="shared" si="63"/>
        <v>5.5827210208404213E-2</v>
      </c>
      <c r="AS44" s="46">
        <f t="shared" si="84"/>
        <v>0</v>
      </c>
      <c r="AT44" s="46">
        <f t="shared" si="91"/>
        <v>4847</v>
      </c>
      <c r="AU44" s="46">
        <f t="shared" si="85"/>
        <v>0</v>
      </c>
      <c r="AV44" s="46">
        <f t="shared" si="86"/>
        <v>0</v>
      </c>
      <c r="AW44" s="47" t="e">
        <f t="shared" si="87"/>
        <v>#DIV/0!</v>
      </c>
      <c r="AY44" s="1" t="str">
        <f t="shared" si="4"/>
        <v>junio2021</v>
      </c>
      <c r="AZ44" s="1" t="s">
        <v>71</v>
      </c>
      <c r="BA44" s="1">
        <v>2021</v>
      </c>
      <c r="BB44" s="59">
        <v>44202</v>
      </c>
      <c r="BC44" s="60">
        <v>3747</v>
      </c>
      <c r="BD44" s="60">
        <v>3708</v>
      </c>
      <c r="BE44" s="60">
        <v>3798</v>
      </c>
      <c r="BF44" s="60">
        <v>3573</v>
      </c>
      <c r="BH44" s="61">
        <v>1.11E-2</v>
      </c>
    </row>
    <row r="45" spans="1:60" x14ac:dyDescent="0.25">
      <c r="A45" s="1" t="str">
        <f t="shared" si="0"/>
        <v>mayo2021</v>
      </c>
      <c r="B45" s="1" t="s">
        <v>73</v>
      </c>
      <c r="C45" s="1">
        <v>2021</v>
      </c>
      <c r="D45" s="62">
        <v>44201</v>
      </c>
      <c r="E45" s="1">
        <v>420.04</v>
      </c>
      <c r="F45" s="1">
        <v>419.43</v>
      </c>
      <c r="G45" s="1">
        <v>422.81</v>
      </c>
      <c r="H45" s="1">
        <v>404</v>
      </c>
      <c r="I45" s="1" t="s">
        <v>109</v>
      </c>
      <c r="J45" s="1">
        <v>6.6E-3</v>
      </c>
      <c r="L45" s="20" t="s">
        <v>37</v>
      </c>
      <c r="M45" s="46" t="str">
        <f t="shared" si="64"/>
        <v/>
      </c>
      <c r="N45" s="46">
        <f>VLOOKUP(_xlfn.CONCAT(L45,$M$33),'data S&amp;P500'!$AY$2:$BH$73,6,0)</f>
        <v>4936.6000000000004</v>
      </c>
      <c r="O45" s="46" t="e">
        <f t="shared" si="65"/>
        <v>#VALUE!</v>
      </c>
      <c r="P45" s="48">
        <f>VLOOKUP(_xlfn.CONCAT(L45,M33),'data S&amp;P500'!$A$2:$J$73,6,0)</f>
        <v>390.14</v>
      </c>
      <c r="Q45" s="20">
        <f t="shared" si="88"/>
        <v>382.43</v>
      </c>
      <c r="R45" s="47">
        <f t="shared" si="61"/>
        <v>-2.0160552257929502E-2</v>
      </c>
      <c r="S45" s="46" t="e">
        <f t="shared" si="66"/>
        <v>#VALUE!</v>
      </c>
      <c r="T45" s="46">
        <f t="shared" si="89"/>
        <v>4847</v>
      </c>
      <c r="U45" s="46" t="e">
        <f t="shared" si="67"/>
        <v>#VALUE!</v>
      </c>
      <c r="V45" s="46" t="e">
        <f t="shared" si="68"/>
        <v>#VALUE!</v>
      </c>
      <c r="W45" s="47" t="e">
        <f t="shared" si="69"/>
        <v>#VALUE!</v>
      </c>
      <c r="X45" s="20"/>
      <c r="Y45" s="20" t="s">
        <v>37</v>
      </c>
      <c r="Z45" s="49" t="e">
        <f t="shared" si="70"/>
        <v>#VALUE!</v>
      </c>
      <c r="AA45" s="46">
        <f t="shared" si="71"/>
        <v>4936.6000000000004</v>
      </c>
      <c r="AB45" s="46" t="e">
        <f t="shared" si="72"/>
        <v>#VALUE!</v>
      </c>
      <c r="AC45" s="48">
        <f t="shared" si="73"/>
        <v>390.14</v>
      </c>
      <c r="AD45" s="48">
        <f t="shared" si="74"/>
        <v>382.43</v>
      </c>
      <c r="AE45" s="47">
        <f t="shared" si="62"/>
        <v>-2.0160552257929502E-2</v>
      </c>
      <c r="AF45" s="46" t="e">
        <f t="shared" si="75"/>
        <v>#VALUE!</v>
      </c>
      <c r="AG45" s="46">
        <f t="shared" si="90"/>
        <v>4847</v>
      </c>
      <c r="AH45" s="46" t="e">
        <f t="shared" si="76"/>
        <v>#VALUE!</v>
      </c>
      <c r="AI45" s="46" t="e">
        <f t="shared" si="77"/>
        <v>#VALUE!</v>
      </c>
      <c r="AJ45" s="47" t="e">
        <f t="shared" si="78"/>
        <v>#VALUE!</v>
      </c>
      <c r="AL45" s="20" t="s">
        <v>37</v>
      </c>
      <c r="AM45" s="49">
        <f t="shared" si="79"/>
        <v>0</v>
      </c>
      <c r="AN45" s="46">
        <f t="shared" si="80"/>
        <v>4936.6000000000004</v>
      </c>
      <c r="AO45" s="46">
        <f t="shared" si="81"/>
        <v>0</v>
      </c>
      <c r="AP45" s="48">
        <f t="shared" si="82"/>
        <v>390.14</v>
      </c>
      <c r="AQ45" s="48">
        <f t="shared" si="83"/>
        <v>382.43</v>
      </c>
      <c r="AR45" s="47">
        <f t="shared" si="63"/>
        <v>-2.0160552257929502E-2</v>
      </c>
      <c r="AS45" s="46">
        <f t="shared" si="84"/>
        <v>0</v>
      </c>
      <c r="AT45" s="46">
        <f t="shared" si="91"/>
        <v>4847</v>
      </c>
      <c r="AU45" s="46">
        <f t="shared" si="85"/>
        <v>0</v>
      </c>
      <c r="AV45" s="46">
        <f t="shared" si="86"/>
        <v>0</v>
      </c>
      <c r="AW45" s="47" t="e">
        <f t="shared" si="87"/>
        <v>#DIV/0!</v>
      </c>
      <c r="AY45" s="1" t="str">
        <f t="shared" si="4"/>
        <v>mayo2021</v>
      </c>
      <c r="AZ45" s="1" t="s">
        <v>73</v>
      </c>
      <c r="BA45" s="1">
        <v>2021</v>
      </c>
      <c r="BB45" s="59">
        <v>44201</v>
      </c>
      <c r="BC45" s="60">
        <v>3705.75</v>
      </c>
      <c r="BD45" s="60">
        <v>3753.3</v>
      </c>
      <c r="BE45" s="60">
        <v>3866.75</v>
      </c>
      <c r="BF45" s="60">
        <v>3643.35</v>
      </c>
      <c r="BH45" s="61">
        <v>-1.2200000000000001E-2</v>
      </c>
    </row>
    <row r="46" spans="1:60" x14ac:dyDescent="0.25">
      <c r="A46" s="1" t="str">
        <f t="shared" si="0"/>
        <v>abril2021</v>
      </c>
      <c r="B46" s="1" t="s">
        <v>75</v>
      </c>
      <c r="C46" s="1">
        <v>2021</v>
      </c>
      <c r="D46" s="62">
        <v>44200</v>
      </c>
      <c r="E46" s="1">
        <v>417.3</v>
      </c>
      <c r="F46" s="1">
        <v>398.4</v>
      </c>
      <c r="G46" s="1">
        <v>420.72</v>
      </c>
      <c r="H46" s="1">
        <v>398.18</v>
      </c>
      <c r="I46" s="1" t="s">
        <v>110</v>
      </c>
      <c r="J46" s="1">
        <v>5.2900000000000003E-2</v>
      </c>
      <c r="L46" s="20" t="s">
        <v>38</v>
      </c>
      <c r="M46" s="46" t="str">
        <f t="shared" si="64"/>
        <v/>
      </c>
      <c r="N46" s="46">
        <f>VLOOKUP(_xlfn.CONCAT(L46,$M$33),'data S&amp;P500'!$AY$2:$BH$73,6,0)</f>
        <v>4830.57</v>
      </c>
      <c r="O46" s="46" t="e">
        <f t="shared" si="65"/>
        <v>#VALUE!</v>
      </c>
      <c r="P46" s="48">
        <f>VLOOKUP(_xlfn.CONCAT(L46,M33),'data S&amp;P500'!$A$2:$J$73,6,0)</f>
        <v>408.77</v>
      </c>
      <c r="Q46" s="20">
        <f t="shared" si="88"/>
        <v>382.43</v>
      </c>
      <c r="R46" s="47">
        <f t="shared" si="61"/>
        <v>-6.8875349737206742E-2</v>
      </c>
      <c r="S46" s="46" t="e">
        <f t="shared" si="66"/>
        <v>#VALUE!</v>
      </c>
      <c r="T46" s="46">
        <f t="shared" si="89"/>
        <v>4847</v>
      </c>
      <c r="U46" s="46" t="e">
        <f t="shared" si="67"/>
        <v>#VALUE!</v>
      </c>
      <c r="V46" s="46" t="e">
        <f t="shared" si="68"/>
        <v>#VALUE!</v>
      </c>
      <c r="W46" s="47" t="e">
        <f t="shared" si="69"/>
        <v>#VALUE!</v>
      </c>
      <c r="X46" s="20"/>
      <c r="Y46" s="20" t="s">
        <v>38</v>
      </c>
      <c r="Z46" s="49" t="e">
        <f t="shared" si="70"/>
        <v>#VALUE!</v>
      </c>
      <c r="AA46" s="46">
        <f t="shared" si="71"/>
        <v>4830.57</v>
      </c>
      <c r="AB46" s="46" t="e">
        <f t="shared" si="72"/>
        <v>#VALUE!</v>
      </c>
      <c r="AC46" s="48">
        <f t="shared" si="73"/>
        <v>408.77</v>
      </c>
      <c r="AD46" s="48">
        <f t="shared" si="74"/>
        <v>382.43</v>
      </c>
      <c r="AE46" s="47">
        <f t="shared" si="62"/>
        <v>-6.8875349737206742E-2</v>
      </c>
      <c r="AF46" s="46" t="e">
        <f t="shared" si="75"/>
        <v>#VALUE!</v>
      </c>
      <c r="AG46" s="46">
        <f t="shared" si="90"/>
        <v>4847</v>
      </c>
      <c r="AH46" s="46" t="e">
        <f t="shared" si="76"/>
        <v>#VALUE!</v>
      </c>
      <c r="AI46" s="46" t="e">
        <f t="shared" si="77"/>
        <v>#VALUE!</v>
      </c>
      <c r="AJ46" s="47" t="e">
        <f t="shared" si="78"/>
        <v>#VALUE!</v>
      </c>
      <c r="AL46" s="20" t="s">
        <v>38</v>
      </c>
      <c r="AM46" s="49">
        <f t="shared" si="79"/>
        <v>0</v>
      </c>
      <c r="AN46" s="46">
        <f t="shared" si="80"/>
        <v>4830.57</v>
      </c>
      <c r="AO46" s="46">
        <f t="shared" si="81"/>
        <v>0</v>
      </c>
      <c r="AP46" s="48">
        <f t="shared" si="82"/>
        <v>408.77</v>
      </c>
      <c r="AQ46" s="48">
        <f t="shared" si="83"/>
        <v>382.43</v>
      </c>
      <c r="AR46" s="47">
        <f t="shared" si="63"/>
        <v>-6.8875349737206742E-2</v>
      </c>
      <c r="AS46" s="46">
        <f t="shared" si="84"/>
        <v>0</v>
      </c>
      <c r="AT46" s="46">
        <f t="shared" si="91"/>
        <v>4847</v>
      </c>
      <c r="AU46" s="46">
        <f t="shared" si="85"/>
        <v>0</v>
      </c>
      <c r="AV46" s="46">
        <f t="shared" si="86"/>
        <v>0</v>
      </c>
      <c r="AW46" s="47" t="e">
        <f t="shared" si="87"/>
        <v>#DIV/0!</v>
      </c>
      <c r="AY46" s="1" t="str">
        <f t="shared" si="4"/>
        <v>abril2021</v>
      </c>
      <c r="AZ46" s="1" t="s">
        <v>75</v>
      </c>
      <c r="BA46" s="1">
        <v>2021</v>
      </c>
      <c r="BB46" s="59">
        <v>44200</v>
      </c>
      <c r="BC46" s="60">
        <v>3751.43</v>
      </c>
      <c r="BD46" s="60">
        <v>3661.7</v>
      </c>
      <c r="BE46" s="60">
        <v>3759.05</v>
      </c>
      <c r="BF46" s="60">
        <v>3587.55</v>
      </c>
      <c r="BH46" s="61">
        <v>2.53E-2</v>
      </c>
    </row>
    <row r="47" spans="1:60" x14ac:dyDescent="0.25">
      <c r="A47" s="1" t="str">
        <f t="shared" si="0"/>
        <v>marzo2021</v>
      </c>
      <c r="B47" s="1" t="s">
        <v>77</v>
      </c>
      <c r="C47" s="1">
        <v>2021</v>
      </c>
      <c r="D47" s="62">
        <v>44199</v>
      </c>
      <c r="E47" s="1">
        <v>396.33</v>
      </c>
      <c r="F47" s="1">
        <v>385.59</v>
      </c>
      <c r="G47" s="1">
        <v>398.12</v>
      </c>
      <c r="H47" s="1">
        <v>371.88</v>
      </c>
      <c r="I47" s="1" t="s">
        <v>111</v>
      </c>
      <c r="J47" s="1">
        <v>4.2000000000000003E-2</v>
      </c>
      <c r="L47" s="20"/>
      <c r="M47" s="46">
        <f>SUM(M35:M46)</f>
        <v>0</v>
      </c>
      <c r="N47" s="46"/>
      <c r="O47" s="46"/>
      <c r="P47" s="20"/>
      <c r="Q47" s="20"/>
      <c r="R47" s="47" t="e">
        <f>S47/M47</f>
        <v>#VALUE!</v>
      </c>
      <c r="S47" s="46" t="e">
        <f>SUM(S35:S46)</f>
        <v>#VALUE!</v>
      </c>
      <c r="T47" s="46"/>
      <c r="U47" s="46"/>
      <c r="V47" s="46" t="e">
        <f>SUM(V35:V46)</f>
        <v>#VALUE!</v>
      </c>
      <c r="W47" s="63" t="e">
        <f>V47/M47</f>
        <v>#VALUE!</v>
      </c>
      <c r="X47" s="20"/>
      <c r="Y47" s="20"/>
      <c r="Z47" s="46" t="e">
        <f>SUM(Z35:Z46)</f>
        <v>#VALUE!</v>
      </c>
      <c r="AA47" s="46"/>
      <c r="AB47" s="46"/>
      <c r="AC47" s="20"/>
      <c r="AD47" s="20"/>
      <c r="AE47" s="47" t="e">
        <f>AF47/Z47</f>
        <v>#VALUE!</v>
      </c>
      <c r="AF47" s="46" t="e">
        <f>SUM(AF35:AF46)</f>
        <v>#VALUE!</v>
      </c>
      <c r="AG47" s="46"/>
      <c r="AH47" s="46"/>
      <c r="AI47" s="46" t="e">
        <f>SUM(AI35:AI46)</f>
        <v>#VALUE!</v>
      </c>
      <c r="AJ47" s="63" t="e">
        <f>AI47/Z47</f>
        <v>#VALUE!</v>
      </c>
      <c r="AL47" s="20"/>
      <c r="AM47" s="46">
        <f>SUM(AM35:AM46)</f>
        <v>0</v>
      </c>
      <c r="AN47" s="46"/>
      <c r="AO47" s="46"/>
      <c r="AP47" s="20"/>
      <c r="AQ47" s="20"/>
      <c r="AR47" s="47" t="e">
        <f>AS47/AM47</f>
        <v>#DIV/0!</v>
      </c>
      <c r="AS47" s="46">
        <f>SUM(AS35:AS46)</f>
        <v>0</v>
      </c>
      <c r="AT47" s="46"/>
      <c r="AU47" s="46"/>
      <c r="AV47" s="46">
        <f>SUM(AV35:AV46)</f>
        <v>0</v>
      </c>
      <c r="AW47" s="63" t="e">
        <f>AV47/AM47</f>
        <v>#DIV/0!</v>
      </c>
      <c r="AY47" s="1" t="str">
        <f t="shared" si="4"/>
        <v>marzo2021</v>
      </c>
      <c r="AZ47" s="1" t="s">
        <v>77</v>
      </c>
      <c r="BA47" s="1">
        <v>2021</v>
      </c>
      <c r="BB47" s="59">
        <v>44199</v>
      </c>
      <c r="BC47" s="60">
        <v>3658.95</v>
      </c>
      <c r="BD47" s="60">
        <v>3647</v>
      </c>
      <c r="BE47" s="60">
        <v>3755</v>
      </c>
      <c r="BF47" s="60">
        <v>3515.68</v>
      </c>
      <c r="BH47" s="61">
        <v>4.0000000000000001E-3</v>
      </c>
    </row>
    <row r="48" spans="1:60" x14ac:dyDescent="0.25">
      <c r="A48" s="1" t="str">
        <f t="shared" si="0"/>
        <v>febrero2021</v>
      </c>
      <c r="B48" s="1" t="s">
        <v>79</v>
      </c>
      <c r="C48" s="1">
        <v>2021</v>
      </c>
      <c r="D48" s="62">
        <v>44198</v>
      </c>
      <c r="E48" s="1">
        <v>380.36</v>
      </c>
      <c r="F48" s="1">
        <v>373.72</v>
      </c>
      <c r="G48" s="1">
        <v>394.17</v>
      </c>
      <c r="H48" s="1">
        <v>370.38</v>
      </c>
      <c r="I48" s="1" t="s">
        <v>112</v>
      </c>
      <c r="J48" s="1">
        <v>2.7799999999999998E-2</v>
      </c>
      <c r="AY48" s="1" t="str">
        <f t="shared" si="4"/>
        <v>febrero2021</v>
      </c>
      <c r="AZ48" s="1" t="s">
        <v>79</v>
      </c>
      <c r="BA48" s="1">
        <v>2021</v>
      </c>
      <c r="BB48" s="59">
        <v>44198</v>
      </c>
      <c r="BC48" s="60">
        <v>3644.5</v>
      </c>
      <c r="BD48" s="60">
        <v>3569</v>
      </c>
      <c r="BE48" s="60">
        <v>3651.95</v>
      </c>
      <c r="BF48" s="60">
        <v>3481.9</v>
      </c>
      <c r="BH48" s="61">
        <v>2.1499999999999998E-2</v>
      </c>
    </row>
    <row r="49" spans="1:60" x14ac:dyDescent="0.25">
      <c r="A49" s="1" t="str">
        <f t="shared" si="0"/>
        <v>enero2021</v>
      </c>
      <c r="B49" s="1" t="s">
        <v>81</v>
      </c>
      <c r="C49" s="1">
        <v>2021</v>
      </c>
      <c r="D49" s="62">
        <v>44197</v>
      </c>
      <c r="E49" s="1">
        <v>370.07</v>
      </c>
      <c r="F49" s="1">
        <v>375.31</v>
      </c>
      <c r="G49" s="1">
        <v>385.85</v>
      </c>
      <c r="H49" s="1">
        <v>364.82</v>
      </c>
      <c r="I49" s="1" t="s">
        <v>90</v>
      </c>
      <c r="J49" s="1">
        <v>-1.0200000000000001E-2</v>
      </c>
      <c r="L49" s="20" t="s">
        <v>43</v>
      </c>
      <c r="M49" s="20">
        <v>2021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Y49" s="1" t="str">
        <f t="shared" si="4"/>
        <v>enero2021</v>
      </c>
      <c r="AZ49" s="1" t="s">
        <v>81</v>
      </c>
      <c r="BA49" s="1">
        <v>2021</v>
      </c>
      <c r="BB49" s="59">
        <v>44197</v>
      </c>
      <c r="BC49" s="60">
        <v>3567.63</v>
      </c>
      <c r="BD49" s="60">
        <v>3422</v>
      </c>
      <c r="BE49" s="60">
        <v>3665.91</v>
      </c>
      <c r="BF49" s="60">
        <v>3379.71</v>
      </c>
      <c r="BH49" s="61">
        <v>4.48E-2</v>
      </c>
    </row>
    <row r="50" spans="1:60" x14ac:dyDescent="0.25">
      <c r="A50" s="1" t="str">
        <f t="shared" si="0"/>
        <v>diciembre2020</v>
      </c>
      <c r="B50" s="1" t="s">
        <v>59</v>
      </c>
      <c r="C50" s="1">
        <v>2020</v>
      </c>
      <c r="D50" s="62">
        <v>43842</v>
      </c>
      <c r="E50" s="1">
        <v>373.88</v>
      </c>
      <c r="F50" s="1">
        <v>365.57</v>
      </c>
      <c r="G50" s="1">
        <v>378.46</v>
      </c>
      <c r="H50" s="1">
        <v>362.03</v>
      </c>
      <c r="I50" s="1" t="s">
        <v>113</v>
      </c>
      <c r="J50" s="1">
        <v>3.2599999999999997E-2</v>
      </c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Y50" s="1" t="str">
        <f t="shared" si="4"/>
        <v>diciembre2020</v>
      </c>
      <c r="AZ50" s="1" t="s">
        <v>59</v>
      </c>
      <c r="BA50" s="1">
        <v>2020</v>
      </c>
      <c r="BB50" s="59">
        <v>43842</v>
      </c>
      <c r="BC50" s="60">
        <v>3414.5</v>
      </c>
      <c r="BD50" s="60">
        <v>3596.25</v>
      </c>
      <c r="BE50" s="60">
        <v>3597.58</v>
      </c>
      <c r="BF50" s="60">
        <v>3399.8</v>
      </c>
      <c r="BH50" s="61">
        <v>-0.05</v>
      </c>
    </row>
    <row r="51" spans="1:60" x14ac:dyDescent="0.25">
      <c r="A51" s="1" t="str">
        <f t="shared" si="0"/>
        <v>noviembre2020</v>
      </c>
      <c r="B51" s="1" t="s">
        <v>61</v>
      </c>
      <c r="C51" s="1">
        <v>2020</v>
      </c>
      <c r="D51" s="62">
        <v>43841</v>
      </c>
      <c r="E51" s="1">
        <v>362.06</v>
      </c>
      <c r="F51" s="1">
        <v>330.2</v>
      </c>
      <c r="G51" s="1">
        <v>364.38</v>
      </c>
      <c r="H51" s="1">
        <v>327.24</v>
      </c>
      <c r="I51" s="1" t="s">
        <v>114</v>
      </c>
      <c r="J51" s="1">
        <v>0.10879999999999999</v>
      </c>
      <c r="L51" s="20" t="s">
        <v>27</v>
      </c>
      <c r="M51" s="46" t="str">
        <f>M35</f>
        <v/>
      </c>
      <c r="N51" s="46">
        <f>VLOOKUP(_xlfn.CONCAT(L51,$M$49),'data S&amp;P500'!$AY$2:$BH$73,6,0)</f>
        <v>3422</v>
      </c>
      <c r="O51" s="46" t="e">
        <f>M51/N51</f>
        <v>#VALUE!</v>
      </c>
      <c r="P51" s="48">
        <f>VLOOKUP(_xlfn.CONCAT(L51,M49),'data S&amp;P500'!$A$2:$J$73,6,0)</f>
        <v>375.31</v>
      </c>
      <c r="Q51" s="20">
        <f>VLOOKUP(_xlfn.CONCAT(L62,M49),$A$1:$E$73,5,0)</f>
        <v>474.96</v>
      </c>
      <c r="R51" s="47">
        <f t="shared" ref="R51:R62" si="92">(Q51-P51)/Q51</f>
        <v>0.209807141654034</v>
      </c>
      <c r="S51" s="46" t="e">
        <f>O51*(1+R51)</f>
        <v>#VALUE!</v>
      </c>
      <c r="T51" s="46">
        <f>VLOOKUP(_xlfn.CONCAT(L62,M49),$AY$1:$BC$73,5,0)</f>
        <v>4065.41</v>
      </c>
      <c r="U51" s="46" t="e">
        <f>S51*T51</f>
        <v>#VALUE!</v>
      </c>
      <c r="V51" s="46" t="e">
        <f>U51-M51</f>
        <v>#VALUE!</v>
      </c>
      <c r="W51" s="47" t="e">
        <f>V51/M51</f>
        <v>#VALUE!</v>
      </c>
      <c r="X51" s="20"/>
      <c r="Y51" s="20" t="s">
        <v>27</v>
      </c>
      <c r="Z51" s="49" t="e">
        <f>Z35</f>
        <v>#VALUE!</v>
      </c>
      <c r="AA51" s="46">
        <f>N51</f>
        <v>3422</v>
      </c>
      <c r="AB51" s="46" t="e">
        <f>Z51/AA51</f>
        <v>#VALUE!</v>
      </c>
      <c r="AC51" s="48">
        <f>P51</f>
        <v>375.31</v>
      </c>
      <c r="AD51" s="48">
        <f>Q51</f>
        <v>474.96</v>
      </c>
      <c r="AE51" s="47">
        <f t="shared" ref="AE51:AE62" si="93">(AD51-AC51)/AD51</f>
        <v>0.209807141654034</v>
      </c>
      <c r="AF51" s="46" t="e">
        <f>AB51*(1+AE51)</f>
        <v>#VALUE!</v>
      </c>
      <c r="AG51" s="46">
        <f>T51</f>
        <v>4065.41</v>
      </c>
      <c r="AH51" s="46" t="e">
        <f>AF51*AG51</f>
        <v>#VALUE!</v>
      </c>
      <c r="AI51" s="46" t="e">
        <f>AH51-Z51</f>
        <v>#VALUE!</v>
      </c>
      <c r="AJ51" s="47" t="e">
        <f>AI51/Z51</f>
        <v>#VALUE!</v>
      </c>
      <c r="AL51" s="20" t="s">
        <v>27</v>
      </c>
      <c r="AM51" s="49">
        <f>AM35</f>
        <v>0</v>
      </c>
      <c r="AN51" s="46">
        <f>AA51</f>
        <v>3422</v>
      </c>
      <c r="AO51" s="46">
        <f>AM51/AN51</f>
        <v>0</v>
      </c>
      <c r="AP51" s="48">
        <f>AC51</f>
        <v>375.31</v>
      </c>
      <c r="AQ51" s="48">
        <f>AD51</f>
        <v>474.96</v>
      </c>
      <c r="AR51" s="47">
        <f t="shared" ref="AR51:AR62" si="94">(AQ51-AP51)/AQ51</f>
        <v>0.209807141654034</v>
      </c>
      <c r="AS51" s="46">
        <f>AO51*(1+AR51)</f>
        <v>0</v>
      </c>
      <c r="AT51" s="46">
        <f>AG51</f>
        <v>4065.41</v>
      </c>
      <c r="AU51" s="46">
        <f>AS51*AT51</f>
        <v>0</v>
      </c>
      <c r="AV51" s="46">
        <f>AU51-AM51</f>
        <v>0</v>
      </c>
      <c r="AW51" s="47" t="e">
        <f>AV51/AM51</f>
        <v>#DIV/0!</v>
      </c>
      <c r="AY51" s="1" t="str">
        <f t="shared" si="4"/>
        <v>noviembre2020</v>
      </c>
      <c r="AZ51" s="1" t="s">
        <v>61</v>
      </c>
      <c r="BA51" s="1">
        <v>2020</v>
      </c>
      <c r="BB51" s="59">
        <v>43841</v>
      </c>
      <c r="BC51" s="60">
        <v>3594.25</v>
      </c>
      <c r="BD51" s="60">
        <v>3870.35</v>
      </c>
      <c r="BE51" s="60">
        <v>3882.79</v>
      </c>
      <c r="BF51" s="60">
        <v>3580.39</v>
      </c>
      <c r="BH51" s="61">
        <v>-7.0999999999999994E-2</v>
      </c>
    </row>
    <row r="52" spans="1:60" x14ac:dyDescent="0.25">
      <c r="A52" s="1" t="str">
        <f t="shared" si="0"/>
        <v>octubre2020</v>
      </c>
      <c r="B52" s="1" t="s">
        <v>63</v>
      </c>
      <c r="C52" s="1">
        <v>2020</v>
      </c>
      <c r="D52" s="62">
        <v>43840</v>
      </c>
      <c r="E52" s="1">
        <v>326.54000000000002</v>
      </c>
      <c r="F52" s="1">
        <v>337.69</v>
      </c>
      <c r="G52" s="1">
        <v>354.02</v>
      </c>
      <c r="H52" s="1">
        <v>322.60000000000002</v>
      </c>
      <c r="I52" s="1" t="s">
        <v>115</v>
      </c>
      <c r="J52" s="1">
        <v>-2.4899999999999999E-2</v>
      </c>
      <c r="L52" s="20" t="s">
        <v>28</v>
      </c>
      <c r="M52" s="46" t="str">
        <f t="shared" ref="M52:M62" si="95">M36</f>
        <v/>
      </c>
      <c r="N52" s="46">
        <f>VLOOKUP(_xlfn.CONCAT(L52,$M$49),'data S&amp;P500'!$AY$2:$BH$73,6,0)</f>
        <v>3569</v>
      </c>
      <c r="O52" s="46" t="e">
        <f t="shared" ref="O52:O62" si="96">M52/N52</f>
        <v>#VALUE!</v>
      </c>
      <c r="P52" s="48">
        <f>VLOOKUP(_xlfn.CONCAT(L52,M49),'data S&amp;P500'!$A$2:$J$73,6,0)</f>
        <v>373.72</v>
      </c>
      <c r="Q52" s="20">
        <f>Q51</f>
        <v>474.96</v>
      </c>
      <c r="R52" s="47">
        <f t="shared" si="92"/>
        <v>0.21315479198248263</v>
      </c>
      <c r="S52" s="46" t="e">
        <f t="shared" ref="S52:S62" si="97">O52*(1+R52)</f>
        <v>#VALUE!</v>
      </c>
      <c r="T52" s="46">
        <f>T51</f>
        <v>4065.41</v>
      </c>
      <c r="U52" s="46" t="e">
        <f t="shared" ref="U52:U62" si="98">T52*S52</f>
        <v>#VALUE!</v>
      </c>
      <c r="V52" s="46" t="e">
        <f t="shared" ref="V52:V62" si="99">U52-M52</f>
        <v>#VALUE!</v>
      </c>
      <c r="W52" s="47" t="e">
        <f t="shared" ref="W52:W62" si="100">V52/M52</f>
        <v>#VALUE!</v>
      </c>
      <c r="X52" s="20"/>
      <c r="Y52" s="20" t="s">
        <v>28</v>
      </c>
      <c r="Z52" s="49" t="e">
        <f t="shared" ref="Z52:Z62" si="101">Z36</f>
        <v>#VALUE!</v>
      </c>
      <c r="AA52" s="46">
        <f t="shared" ref="AA52:AA62" si="102">N52</f>
        <v>3569</v>
      </c>
      <c r="AB52" s="46" t="e">
        <f t="shared" ref="AB52:AB62" si="103">Z52/AA52</f>
        <v>#VALUE!</v>
      </c>
      <c r="AC52" s="48">
        <f t="shared" ref="AC52:AC62" si="104">P52</f>
        <v>373.72</v>
      </c>
      <c r="AD52" s="48">
        <f t="shared" ref="AD52:AD62" si="105">Q52</f>
        <v>474.96</v>
      </c>
      <c r="AE52" s="47">
        <f t="shared" si="93"/>
        <v>0.21315479198248263</v>
      </c>
      <c r="AF52" s="46" t="e">
        <f t="shared" ref="AF52:AF62" si="106">AB52*(1+AE52)</f>
        <v>#VALUE!</v>
      </c>
      <c r="AG52" s="46">
        <f>AG51</f>
        <v>4065.41</v>
      </c>
      <c r="AH52" s="46" t="e">
        <f t="shared" ref="AH52:AH62" si="107">AG52*AF52</f>
        <v>#VALUE!</v>
      </c>
      <c r="AI52" s="46" t="e">
        <f t="shared" ref="AI52:AI62" si="108">AH52-Z52</f>
        <v>#VALUE!</v>
      </c>
      <c r="AJ52" s="47" t="e">
        <f t="shared" ref="AJ52:AJ62" si="109">AI52/Z52</f>
        <v>#VALUE!</v>
      </c>
      <c r="AL52" s="20" t="s">
        <v>28</v>
      </c>
      <c r="AM52" s="49">
        <f t="shared" ref="AM52:AM62" si="110">AM36</f>
        <v>0</v>
      </c>
      <c r="AN52" s="46">
        <f t="shared" ref="AN52:AN62" si="111">AA52</f>
        <v>3569</v>
      </c>
      <c r="AO52" s="46">
        <f t="shared" ref="AO52:AO62" si="112">AM52/AN52</f>
        <v>0</v>
      </c>
      <c r="AP52" s="48">
        <f t="shared" ref="AP52:AP62" si="113">AC52</f>
        <v>373.72</v>
      </c>
      <c r="AQ52" s="48">
        <f t="shared" ref="AQ52:AQ62" si="114">AD52</f>
        <v>474.96</v>
      </c>
      <c r="AR52" s="47">
        <f t="shared" si="94"/>
        <v>0.21315479198248263</v>
      </c>
      <c r="AS52" s="46">
        <f t="shared" ref="AS52:AS62" si="115">AO52*(1+AR52)</f>
        <v>0</v>
      </c>
      <c r="AT52" s="46">
        <f>AT51</f>
        <v>4065.41</v>
      </c>
      <c r="AU52" s="46">
        <f t="shared" ref="AU52:AU62" si="116">AT52*AS52</f>
        <v>0</v>
      </c>
      <c r="AV52" s="46">
        <f t="shared" ref="AV52:AV62" si="117">AU52-AM52</f>
        <v>0</v>
      </c>
      <c r="AW52" s="47" t="e">
        <f t="shared" ref="AW52:AW62" si="118">AV52/AM52</f>
        <v>#DIV/0!</v>
      </c>
      <c r="AY52" s="1" t="str">
        <f t="shared" si="4"/>
        <v>octubre2020</v>
      </c>
      <c r="AZ52" s="1" t="s">
        <v>63</v>
      </c>
      <c r="BA52" s="1">
        <v>2020</v>
      </c>
      <c r="BB52" s="59">
        <v>43840</v>
      </c>
      <c r="BC52" s="60">
        <v>3868.85</v>
      </c>
      <c r="BD52" s="60">
        <v>3827</v>
      </c>
      <c r="BE52" s="60">
        <v>3905.45</v>
      </c>
      <c r="BF52" s="60">
        <v>3754.5</v>
      </c>
      <c r="BH52" s="61">
        <v>1.14E-2</v>
      </c>
    </row>
    <row r="53" spans="1:60" x14ac:dyDescent="0.25">
      <c r="A53" s="1" t="str">
        <f t="shared" si="0"/>
        <v>septiembre2020</v>
      </c>
      <c r="B53" s="1" t="s">
        <v>65</v>
      </c>
      <c r="C53" s="1">
        <v>2020</v>
      </c>
      <c r="D53" s="62">
        <v>43839</v>
      </c>
      <c r="E53" s="1">
        <v>334.89</v>
      </c>
      <c r="F53" s="1">
        <v>350.21</v>
      </c>
      <c r="G53" s="1">
        <v>358.75</v>
      </c>
      <c r="H53" s="1">
        <v>319.8</v>
      </c>
      <c r="I53" s="1" t="s">
        <v>116</v>
      </c>
      <c r="J53" s="1">
        <v>-4.1300000000000003E-2</v>
      </c>
      <c r="L53" s="20" t="s">
        <v>29</v>
      </c>
      <c r="M53" s="46" t="str">
        <f t="shared" si="95"/>
        <v/>
      </c>
      <c r="N53" s="46">
        <f>VLOOKUP(_xlfn.CONCAT(L53,$M$49),'data S&amp;P500'!$AY$2:$BH$73,6,0)</f>
        <v>3647</v>
      </c>
      <c r="O53" s="46" t="e">
        <f t="shared" si="96"/>
        <v>#VALUE!</v>
      </c>
      <c r="P53" s="48">
        <f>VLOOKUP(_xlfn.CONCAT(L53,M49),'data S&amp;P500'!$A$2:$J$73,6,0)</f>
        <v>385.59</v>
      </c>
      <c r="Q53" s="20">
        <f t="shared" ref="Q53:Q62" si="119">Q52</f>
        <v>474.96</v>
      </c>
      <c r="R53" s="47">
        <f t="shared" si="92"/>
        <v>0.18816321374431533</v>
      </c>
      <c r="S53" s="46" t="e">
        <f t="shared" si="97"/>
        <v>#VALUE!</v>
      </c>
      <c r="T53" s="46">
        <f t="shared" ref="T53:T62" si="120">T52</f>
        <v>4065.41</v>
      </c>
      <c r="U53" s="46" t="e">
        <f t="shared" si="98"/>
        <v>#VALUE!</v>
      </c>
      <c r="V53" s="46" t="e">
        <f t="shared" si="99"/>
        <v>#VALUE!</v>
      </c>
      <c r="W53" s="47" t="e">
        <f t="shared" si="100"/>
        <v>#VALUE!</v>
      </c>
      <c r="X53" s="20"/>
      <c r="Y53" s="20" t="s">
        <v>29</v>
      </c>
      <c r="Z53" s="49" t="e">
        <f t="shared" si="101"/>
        <v>#VALUE!</v>
      </c>
      <c r="AA53" s="46">
        <f t="shared" si="102"/>
        <v>3647</v>
      </c>
      <c r="AB53" s="46" t="e">
        <f t="shared" si="103"/>
        <v>#VALUE!</v>
      </c>
      <c r="AC53" s="48">
        <f t="shared" si="104"/>
        <v>385.59</v>
      </c>
      <c r="AD53" s="48">
        <f t="shared" si="105"/>
        <v>474.96</v>
      </c>
      <c r="AE53" s="47">
        <f t="shared" si="93"/>
        <v>0.18816321374431533</v>
      </c>
      <c r="AF53" s="46" t="e">
        <f t="shared" si="106"/>
        <v>#VALUE!</v>
      </c>
      <c r="AG53" s="46">
        <f t="shared" ref="AG53:AG62" si="121">AG52</f>
        <v>4065.41</v>
      </c>
      <c r="AH53" s="46" t="e">
        <f t="shared" si="107"/>
        <v>#VALUE!</v>
      </c>
      <c r="AI53" s="46" t="e">
        <f t="shared" si="108"/>
        <v>#VALUE!</v>
      </c>
      <c r="AJ53" s="47" t="e">
        <f t="shared" si="109"/>
        <v>#VALUE!</v>
      </c>
      <c r="AL53" s="20" t="s">
        <v>29</v>
      </c>
      <c r="AM53" s="49">
        <f t="shared" si="110"/>
        <v>0</v>
      </c>
      <c r="AN53" s="46">
        <f t="shared" si="111"/>
        <v>3647</v>
      </c>
      <c r="AO53" s="46">
        <f t="shared" si="112"/>
        <v>0</v>
      </c>
      <c r="AP53" s="48">
        <f t="shared" si="113"/>
        <v>385.59</v>
      </c>
      <c r="AQ53" s="48">
        <f t="shared" si="114"/>
        <v>474.96</v>
      </c>
      <c r="AR53" s="47">
        <f t="shared" si="94"/>
        <v>0.18816321374431533</v>
      </c>
      <c r="AS53" s="46">
        <f t="shared" si="115"/>
        <v>0</v>
      </c>
      <c r="AT53" s="46">
        <f t="shared" ref="AT53:AT62" si="122">AT52</f>
        <v>4065.41</v>
      </c>
      <c r="AU53" s="46">
        <f t="shared" si="116"/>
        <v>0</v>
      </c>
      <c r="AV53" s="46">
        <f t="shared" si="117"/>
        <v>0</v>
      </c>
      <c r="AW53" s="47" t="e">
        <f t="shared" si="118"/>
        <v>#DIV/0!</v>
      </c>
      <c r="AY53" s="1" t="str">
        <f t="shared" si="4"/>
        <v>septiembre2020</v>
      </c>
      <c r="AZ53" s="1" t="s">
        <v>65</v>
      </c>
      <c r="BA53" s="1">
        <v>2020</v>
      </c>
      <c r="BB53" s="59">
        <v>43839</v>
      </c>
      <c r="BC53" s="60">
        <v>3825.25</v>
      </c>
      <c r="BD53" s="60">
        <v>3740.45</v>
      </c>
      <c r="BE53" s="60">
        <v>3908.32</v>
      </c>
      <c r="BF53" s="60">
        <v>3620.71</v>
      </c>
      <c r="BH53" s="61">
        <v>2.29E-2</v>
      </c>
    </row>
    <row r="54" spans="1:60" x14ac:dyDescent="0.25">
      <c r="A54" s="1" t="str">
        <f t="shared" si="0"/>
        <v>agosto2020</v>
      </c>
      <c r="B54" s="1" t="s">
        <v>67</v>
      </c>
      <c r="C54" s="1">
        <v>2020</v>
      </c>
      <c r="D54" s="62">
        <v>43838</v>
      </c>
      <c r="E54" s="1">
        <v>349.31</v>
      </c>
      <c r="F54" s="1">
        <v>328.32</v>
      </c>
      <c r="G54" s="1">
        <v>351.3</v>
      </c>
      <c r="H54" s="1">
        <v>327.73</v>
      </c>
      <c r="I54" s="1" t="s">
        <v>66</v>
      </c>
      <c r="J54" s="1">
        <v>6.9800000000000001E-2</v>
      </c>
      <c r="L54" s="20" t="s">
        <v>30</v>
      </c>
      <c r="M54" s="46" t="str">
        <f t="shared" si="95"/>
        <v/>
      </c>
      <c r="N54" s="46">
        <f>VLOOKUP(_xlfn.CONCAT(L54,$M$49),'data S&amp;P500'!$AY$2:$BH$73,6,0)</f>
        <v>3661.7</v>
      </c>
      <c r="O54" s="46" t="e">
        <f t="shared" si="96"/>
        <v>#VALUE!</v>
      </c>
      <c r="P54" s="48">
        <f>VLOOKUP(_xlfn.CONCAT(L54,M49),'data S&amp;P500'!$A$2:$J$73,6,0)</f>
        <v>398.4</v>
      </c>
      <c r="Q54" s="20">
        <f t="shared" si="119"/>
        <v>474.96</v>
      </c>
      <c r="R54" s="47">
        <f t="shared" si="92"/>
        <v>0.16119252147549268</v>
      </c>
      <c r="S54" s="46" t="e">
        <f t="shared" si="97"/>
        <v>#VALUE!</v>
      </c>
      <c r="T54" s="46">
        <f t="shared" si="120"/>
        <v>4065.41</v>
      </c>
      <c r="U54" s="46" t="e">
        <f t="shared" si="98"/>
        <v>#VALUE!</v>
      </c>
      <c r="V54" s="46" t="e">
        <f t="shared" si="99"/>
        <v>#VALUE!</v>
      </c>
      <c r="W54" s="47" t="e">
        <f t="shared" si="100"/>
        <v>#VALUE!</v>
      </c>
      <c r="X54" s="20"/>
      <c r="Y54" s="20" t="s">
        <v>30</v>
      </c>
      <c r="Z54" s="49" t="e">
        <f t="shared" si="101"/>
        <v>#VALUE!</v>
      </c>
      <c r="AA54" s="46">
        <f t="shared" si="102"/>
        <v>3661.7</v>
      </c>
      <c r="AB54" s="46" t="e">
        <f t="shared" si="103"/>
        <v>#VALUE!</v>
      </c>
      <c r="AC54" s="48">
        <f t="shared" si="104"/>
        <v>398.4</v>
      </c>
      <c r="AD54" s="48">
        <f t="shared" si="105"/>
        <v>474.96</v>
      </c>
      <c r="AE54" s="47">
        <f t="shared" si="93"/>
        <v>0.16119252147549268</v>
      </c>
      <c r="AF54" s="46" t="e">
        <f t="shared" si="106"/>
        <v>#VALUE!</v>
      </c>
      <c r="AG54" s="46">
        <f t="shared" si="121"/>
        <v>4065.41</v>
      </c>
      <c r="AH54" s="46" t="e">
        <f t="shared" si="107"/>
        <v>#VALUE!</v>
      </c>
      <c r="AI54" s="46" t="e">
        <f t="shared" si="108"/>
        <v>#VALUE!</v>
      </c>
      <c r="AJ54" s="47" t="e">
        <f t="shared" si="109"/>
        <v>#VALUE!</v>
      </c>
      <c r="AL54" s="20" t="s">
        <v>30</v>
      </c>
      <c r="AM54" s="49">
        <f t="shared" si="110"/>
        <v>0</v>
      </c>
      <c r="AN54" s="46">
        <f t="shared" si="111"/>
        <v>3661.7</v>
      </c>
      <c r="AO54" s="46">
        <f t="shared" si="112"/>
        <v>0</v>
      </c>
      <c r="AP54" s="48">
        <f t="shared" si="113"/>
        <v>398.4</v>
      </c>
      <c r="AQ54" s="48">
        <f t="shared" si="114"/>
        <v>474.96</v>
      </c>
      <c r="AR54" s="47">
        <f t="shared" si="94"/>
        <v>0.16119252147549268</v>
      </c>
      <c r="AS54" s="46">
        <f t="shared" si="115"/>
        <v>0</v>
      </c>
      <c r="AT54" s="46">
        <f t="shared" si="122"/>
        <v>4065.41</v>
      </c>
      <c r="AU54" s="46">
        <f t="shared" si="116"/>
        <v>0</v>
      </c>
      <c r="AV54" s="46">
        <f t="shared" si="117"/>
        <v>0</v>
      </c>
      <c r="AW54" s="47" t="e">
        <f t="shared" si="118"/>
        <v>#DIV/0!</v>
      </c>
      <c r="AY54" s="1" t="str">
        <f t="shared" si="4"/>
        <v>agosto2020</v>
      </c>
      <c r="AZ54" s="1" t="s">
        <v>67</v>
      </c>
      <c r="BA54" s="1">
        <v>2020</v>
      </c>
      <c r="BB54" s="59">
        <v>43838</v>
      </c>
      <c r="BC54" s="60">
        <v>3739.71</v>
      </c>
      <c r="BD54" s="60">
        <v>3733.33</v>
      </c>
      <c r="BE54" s="60">
        <v>3888</v>
      </c>
      <c r="BF54" s="60">
        <v>3727.19</v>
      </c>
      <c r="BH54" s="61">
        <v>2.2000000000000001E-3</v>
      </c>
    </row>
    <row r="55" spans="1:60" x14ac:dyDescent="0.25">
      <c r="A55" s="1" t="str">
        <f t="shared" si="0"/>
        <v>julio2020</v>
      </c>
      <c r="B55" s="1" t="s">
        <v>69</v>
      </c>
      <c r="C55" s="1">
        <v>2020</v>
      </c>
      <c r="D55" s="62">
        <v>43837</v>
      </c>
      <c r="E55" s="1">
        <v>326.52</v>
      </c>
      <c r="F55" s="1">
        <v>309.57</v>
      </c>
      <c r="G55" s="1">
        <v>327.23</v>
      </c>
      <c r="H55" s="1">
        <v>309.07</v>
      </c>
      <c r="I55" s="1" t="s">
        <v>105</v>
      </c>
      <c r="J55" s="1">
        <v>5.8900000000000001E-2</v>
      </c>
      <c r="L55" s="20" t="s">
        <v>31</v>
      </c>
      <c r="M55" s="46" t="str">
        <f t="shared" si="95"/>
        <v/>
      </c>
      <c r="N55" s="46">
        <f>VLOOKUP(_xlfn.CONCAT(L55,$M$49),'data S&amp;P500'!$AY$2:$BH$73,6,0)</f>
        <v>3753.3</v>
      </c>
      <c r="O55" s="46" t="e">
        <f t="shared" si="96"/>
        <v>#VALUE!</v>
      </c>
      <c r="P55" s="48">
        <f>VLOOKUP(_xlfn.CONCAT(L55,M49),'data S&amp;P500'!$A$2:$J$73,6,0)</f>
        <v>419.43</v>
      </c>
      <c r="Q55" s="20">
        <f t="shared" si="119"/>
        <v>474.96</v>
      </c>
      <c r="R55" s="47">
        <f t="shared" si="92"/>
        <v>0.11691510864072759</v>
      </c>
      <c r="S55" s="46" t="e">
        <f t="shared" si="97"/>
        <v>#VALUE!</v>
      </c>
      <c r="T55" s="46">
        <f t="shared" si="120"/>
        <v>4065.41</v>
      </c>
      <c r="U55" s="46" t="e">
        <f t="shared" si="98"/>
        <v>#VALUE!</v>
      </c>
      <c r="V55" s="46" t="e">
        <f t="shared" si="99"/>
        <v>#VALUE!</v>
      </c>
      <c r="W55" s="47" t="e">
        <f t="shared" si="100"/>
        <v>#VALUE!</v>
      </c>
      <c r="X55" s="20"/>
      <c r="Y55" s="20" t="s">
        <v>31</v>
      </c>
      <c r="Z55" s="49" t="e">
        <f t="shared" si="101"/>
        <v>#VALUE!</v>
      </c>
      <c r="AA55" s="46">
        <f t="shared" si="102"/>
        <v>3753.3</v>
      </c>
      <c r="AB55" s="46" t="e">
        <f t="shared" si="103"/>
        <v>#VALUE!</v>
      </c>
      <c r="AC55" s="48">
        <f t="shared" si="104"/>
        <v>419.43</v>
      </c>
      <c r="AD55" s="48">
        <f t="shared" si="105"/>
        <v>474.96</v>
      </c>
      <c r="AE55" s="47">
        <f t="shared" si="93"/>
        <v>0.11691510864072759</v>
      </c>
      <c r="AF55" s="46" t="e">
        <f t="shared" si="106"/>
        <v>#VALUE!</v>
      </c>
      <c r="AG55" s="46">
        <f t="shared" si="121"/>
        <v>4065.41</v>
      </c>
      <c r="AH55" s="46" t="e">
        <f t="shared" si="107"/>
        <v>#VALUE!</v>
      </c>
      <c r="AI55" s="46" t="e">
        <f t="shared" si="108"/>
        <v>#VALUE!</v>
      </c>
      <c r="AJ55" s="47" t="e">
        <f t="shared" si="109"/>
        <v>#VALUE!</v>
      </c>
      <c r="AL55" s="20" t="s">
        <v>31</v>
      </c>
      <c r="AM55" s="49">
        <f t="shared" si="110"/>
        <v>0</v>
      </c>
      <c r="AN55" s="46">
        <f t="shared" si="111"/>
        <v>3753.3</v>
      </c>
      <c r="AO55" s="46">
        <f t="shared" si="112"/>
        <v>0</v>
      </c>
      <c r="AP55" s="48">
        <f t="shared" si="113"/>
        <v>419.43</v>
      </c>
      <c r="AQ55" s="48">
        <f t="shared" si="114"/>
        <v>474.96</v>
      </c>
      <c r="AR55" s="47">
        <f t="shared" si="94"/>
        <v>0.11691510864072759</v>
      </c>
      <c r="AS55" s="46">
        <f t="shared" si="115"/>
        <v>0</v>
      </c>
      <c r="AT55" s="46">
        <f t="shared" si="122"/>
        <v>4065.41</v>
      </c>
      <c r="AU55" s="46">
        <f t="shared" si="116"/>
        <v>0</v>
      </c>
      <c r="AV55" s="46">
        <f t="shared" si="117"/>
        <v>0</v>
      </c>
      <c r="AW55" s="47" t="e">
        <f t="shared" si="118"/>
        <v>#DIV/0!</v>
      </c>
      <c r="AY55" s="1" t="str">
        <f t="shared" si="4"/>
        <v>julio2020</v>
      </c>
      <c r="AZ55" s="1" t="s">
        <v>69</v>
      </c>
      <c r="BA55" s="1">
        <v>2020</v>
      </c>
      <c r="BB55" s="59">
        <v>43837</v>
      </c>
      <c r="BC55" s="60">
        <v>3731.33</v>
      </c>
      <c r="BD55" s="60">
        <v>3758</v>
      </c>
      <c r="BE55" s="60">
        <v>3760.13</v>
      </c>
      <c r="BF55" s="60">
        <v>3599.61</v>
      </c>
      <c r="BH55" s="61">
        <v>-4.4999999999999997E-3</v>
      </c>
    </row>
    <row r="56" spans="1:60" x14ac:dyDescent="0.25">
      <c r="A56" s="1" t="str">
        <f t="shared" si="0"/>
        <v>junio2020</v>
      </c>
      <c r="B56" s="1" t="s">
        <v>71</v>
      </c>
      <c r="C56" s="1">
        <v>2020</v>
      </c>
      <c r="D56" s="62">
        <v>43836</v>
      </c>
      <c r="E56" s="1">
        <v>308.36</v>
      </c>
      <c r="F56" s="1">
        <v>303.62</v>
      </c>
      <c r="G56" s="1">
        <v>323.41000000000003</v>
      </c>
      <c r="H56" s="1">
        <v>296.74</v>
      </c>
      <c r="I56" s="1" t="s">
        <v>117</v>
      </c>
      <c r="J56" s="1">
        <v>1.3299999999999999E-2</v>
      </c>
      <c r="L56" s="20" t="s">
        <v>32</v>
      </c>
      <c r="M56" s="46" t="str">
        <f t="shared" si="95"/>
        <v/>
      </c>
      <c r="N56" s="46">
        <f>VLOOKUP(_xlfn.CONCAT(L56,$M$49),'data S&amp;P500'!$AY$2:$BH$73,6,0)</f>
        <v>3708</v>
      </c>
      <c r="O56" s="46" t="e">
        <f t="shared" si="96"/>
        <v>#VALUE!</v>
      </c>
      <c r="P56" s="48">
        <f>VLOOKUP(_xlfn.CONCAT(L56,M49),'data S&amp;P500'!$A$2:$J$73,6,0)</f>
        <v>422.57</v>
      </c>
      <c r="Q56" s="20">
        <f t="shared" si="119"/>
        <v>474.96</v>
      </c>
      <c r="R56" s="47">
        <f t="shared" si="92"/>
        <v>0.11030402560215595</v>
      </c>
      <c r="S56" s="46" t="e">
        <f t="shared" si="97"/>
        <v>#VALUE!</v>
      </c>
      <c r="T56" s="46">
        <f t="shared" si="120"/>
        <v>4065.41</v>
      </c>
      <c r="U56" s="46" t="e">
        <f t="shared" si="98"/>
        <v>#VALUE!</v>
      </c>
      <c r="V56" s="46" t="e">
        <f t="shared" si="99"/>
        <v>#VALUE!</v>
      </c>
      <c r="W56" s="47" t="e">
        <f t="shared" si="100"/>
        <v>#VALUE!</v>
      </c>
      <c r="X56" s="20"/>
      <c r="Y56" s="20" t="s">
        <v>32</v>
      </c>
      <c r="Z56" s="49" t="e">
        <f t="shared" si="101"/>
        <v>#VALUE!</v>
      </c>
      <c r="AA56" s="46">
        <f t="shared" si="102"/>
        <v>3708</v>
      </c>
      <c r="AB56" s="46" t="e">
        <f t="shared" si="103"/>
        <v>#VALUE!</v>
      </c>
      <c r="AC56" s="48">
        <f t="shared" si="104"/>
        <v>422.57</v>
      </c>
      <c r="AD56" s="48">
        <f t="shared" si="105"/>
        <v>474.96</v>
      </c>
      <c r="AE56" s="47">
        <f t="shared" si="93"/>
        <v>0.11030402560215595</v>
      </c>
      <c r="AF56" s="46" t="e">
        <f t="shared" si="106"/>
        <v>#VALUE!</v>
      </c>
      <c r="AG56" s="46">
        <f t="shared" si="121"/>
        <v>4065.41</v>
      </c>
      <c r="AH56" s="46" t="e">
        <f t="shared" si="107"/>
        <v>#VALUE!</v>
      </c>
      <c r="AI56" s="46" t="e">
        <f t="shared" si="108"/>
        <v>#VALUE!</v>
      </c>
      <c r="AJ56" s="47" t="e">
        <f t="shared" si="109"/>
        <v>#VALUE!</v>
      </c>
      <c r="AL56" s="20" t="s">
        <v>32</v>
      </c>
      <c r="AM56" s="49">
        <f t="shared" si="110"/>
        <v>0</v>
      </c>
      <c r="AN56" s="46">
        <f t="shared" si="111"/>
        <v>3708</v>
      </c>
      <c r="AO56" s="46">
        <f t="shared" si="112"/>
        <v>0</v>
      </c>
      <c r="AP56" s="48">
        <f t="shared" si="113"/>
        <v>422.57</v>
      </c>
      <c r="AQ56" s="48">
        <f t="shared" si="114"/>
        <v>474.96</v>
      </c>
      <c r="AR56" s="47">
        <f t="shared" si="94"/>
        <v>0.11030402560215595</v>
      </c>
      <c r="AS56" s="46">
        <f t="shared" si="115"/>
        <v>0</v>
      </c>
      <c r="AT56" s="46">
        <f t="shared" si="122"/>
        <v>4065.41</v>
      </c>
      <c r="AU56" s="46">
        <f t="shared" si="116"/>
        <v>0</v>
      </c>
      <c r="AV56" s="46">
        <f t="shared" si="117"/>
        <v>0</v>
      </c>
      <c r="AW56" s="47" t="e">
        <f t="shared" si="118"/>
        <v>#DIV/0!</v>
      </c>
      <c r="AY56" s="1" t="str">
        <f t="shared" si="4"/>
        <v>junio2020</v>
      </c>
      <c r="AZ56" s="1" t="s">
        <v>71</v>
      </c>
      <c r="BA56" s="1">
        <v>2020</v>
      </c>
      <c r="BB56" s="59">
        <v>43836</v>
      </c>
      <c r="BC56" s="60">
        <v>3748.32</v>
      </c>
      <c r="BD56" s="60">
        <v>3730</v>
      </c>
      <c r="BE56" s="60">
        <v>3790</v>
      </c>
      <c r="BF56" s="60">
        <v>3542.06</v>
      </c>
      <c r="BH56" s="61">
        <v>6.0000000000000001E-3</v>
      </c>
    </row>
    <row r="57" spans="1:60" x14ac:dyDescent="0.25">
      <c r="A57" s="1" t="str">
        <f t="shared" si="0"/>
        <v>mayo2020</v>
      </c>
      <c r="B57" s="1" t="s">
        <v>73</v>
      </c>
      <c r="C57" s="1">
        <v>2020</v>
      </c>
      <c r="D57" s="62">
        <v>43835</v>
      </c>
      <c r="E57" s="1">
        <v>304.32</v>
      </c>
      <c r="F57" s="1">
        <v>285.31</v>
      </c>
      <c r="G57" s="1">
        <v>306.83999999999997</v>
      </c>
      <c r="H57" s="1">
        <v>272.99</v>
      </c>
      <c r="I57" s="1" t="s">
        <v>118</v>
      </c>
      <c r="J57" s="1">
        <v>4.7600000000000003E-2</v>
      </c>
      <c r="L57" s="20" t="s">
        <v>33</v>
      </c>
      <c r="M57" s="46" t="str">
        <f t="shared" si="95"/>
        <v/>
      </c>
      <c r="N57" s="46">
        <f>VLOOKUP(_xlfn.CONCAT(L57,$M$49),'data S&amp;P500'!$AY$2:$BH$73,6,0)</f>
        <v>3750</v>
      </c>
      <c r="O57" s="46" t="e">
        <f t="shared" si="96"/>
        <v>#VALUE!</v>
      </c>
      <c r="P57" s="48">
        <f>VLOOKUP(_xlfn.CONCAT(L57,M49),'data S&amp;P500'!$A$2:$J$73,6,0)</f>
        <v>428.87</v>
      </c>
      <c r="Q57" s="20">
        <f t="shared" si="119"/>
        <v>474.96</v>
      </c>
      <c r="R57" s="47">
        <f t="shared" si="92"/>
        <v>9.7039750715849707E-2</v>
      </c>
      <c r="S57" s="46" t="e">
        <f t="shared" si="97"/>
        <v>#VALUE!</v>
      </c>
      <c r="T57" s="46">
        <f t="shared" si="120"/>
        <v>4065.41</v>
      </c>
      <c r="U57" s="46" t="e">
        <f t="shared" si="98"/>
        <v>#VALUE!</v>
      </c>
      <c r="V57" s="46" t="e">
        <f t="shared" si="99"/>
        <v>#VALUE!</v>
      </c>
      <c r="W57" s="47" t="e">
        <f t="shared" si="100"/>
        <v>#VALUE!</v>
      </c>
      <c r="X57" s="20"/>
      <c r="Y57" s="20" t="s">
        <v>33</v>
      </c>
      <c r="Z57" s="49" t="e">
        <f t="shared" si="101"/>
        <v>#VALUE!</v>
      </c>
      <c r="AA57" s="46">
        <f t="shared" si="102"/>
        <v>3750</v>
      </c>
      <c r="AB57" s="46" t="e">
        <f t="shared" si="103"/>
        <v>#VALUE!</v>
      </c>
      <c r="AC57" s="48">
        <f t="shared" si="104"/>
        <v>428.87</v>
      </c>
      <c r="AD57" s="48">
        <f t="shared" si="105"/>
        <v>474.96</v>
      </c>
      <c r="AE57" s="47">
        <f t="shared" si="93"/>
        <v>9.7039750715849707E-2</v>
      </c>
      <c r="AF57" s="46" t="e">
        <f t="shared" si="106"/>
        <v>#VALUE!</v>
      </c>
      <c r="AG57" s="46">
        <f t="shared" si="121"/>
        <v>4065.41</v>
      </c>
      <c r="AH57" s="46" t="e">
        <f t="shared" si="107"/>
        <v>#VALUE!</v>
      </c>
      <c r="AI57" s="46" t="e">
        <f t="shared" si="108"/>
        <v>#VALUE!</v>
      </c>
      <c r="AJ57" s="47" t="e">
        <f t="shared" si="109"/>
        <v>#VALUE!</v>
      </c>
      <c r="AL57" s="20" t="s">
        <v>33</v>
      </c>
      <c r="AM57" s="49">
        <f t="shared" si="110"/>
        <v>0</v>
      </c>
      <c r="AN57" s="46">
        <f t="shared" si="111"/>
        <v>3750</v>
      </c>
      <c r="AO57" s="46">
        <f t="shared" si="112"/>
        <v>0</v>
      </c>
      <c r="AP57" s="48">
        <f t="shared" si="113"/>
        <v>428.87</v>
      </c>
      <c r="AQ57" s="48">
        <f t="shared" si="114"/>
        <v>474.96</v>
      </c>
      <c r="AR57" s="47">
        <f t="shared" si="94"/>
        <v>9.7039750715849707E-2</v>
      </c>
      <c r="AS57" s="46">
        <f t="shared" si="115"/>
        <v>0</v>
      </c>
      <c r="AT57" s="46">
        <f t="shared" si="122"/>
        <v>4065.41</v>
      </c>
      <c r="AU57" s="46">
        <f t="shared" si="116"/>
        <v>0</v>
      </c>
      <c r="AV57" s="46">
        <f t="shared" si="117"/>
        <v>0</v>
      </c>
      <c r="AW57" s="47" t="e">
        <f t="shared" si="118"/>
        <v>#DIV/0!</v>
      </c>
      <c r="AY57" s="1" t="str">
        <f t="shared" si="4"/>
        <v>mayo2020</v>
      </c>
      <c r="AZ57" s="1" t="s">
        <v>73</v>
      </c>
      <c r="BA57" s="1">
        <v>2020</v>
      </c>
      <c r="BB57" s="59">
        <v>43835</v>
      </c>
      <c r="BC57" s="60">
        <v>3726</v>
      </c>
      <c r="BD57" s="60">
        <v>3954.5</v>
      </c>
      <c r="BE57" s="60">
        <v>4010.64</v>
      </c>
      <c r="BF57" s="60">
        <v>3691.24</v>
      </c>
      <c r="BH57" s="61">
        <v>-5.7299999999999997E-2</v>
      </c>
    </row>
    <row r="58" spans="1:60" x14ac:dyDescent="0.25">
      <c r="A58" s="1" t="str">
        <f t="shared" si="0"/>
        <v>abril2020</v>
      </c>
      <c r="B58" s="1" t="s">
        <v>75</v>
      </c>
      <c r="C58" s="1">
        <v>2020</v>
      </c>
      <c r="D58" s="62">
        <v>43834</v>
      </c>
      <c r="E58" s="1">
        <v>290.48</v>
      </c>
      <c r="F58" s="1">
        <v>247.98</v>
      </c>
      <c r="G58" s="1">
        <v>294.88</v>
      </c>
      <c r="H58" s="1">
        <v>243.9</v>
      </c>
      <c r="I58" s="1" t="s">
        <v>119</v>
      </c>
      <c r="J58" s="1">
        <v>0.127</v>
      </c>
      <c r="L58" s="20" t="s">
        <v>34</v>
      </c>
      <c r="M58" s="46" t="str">
        <f t="shared" si="95"/>
        <v/>
      </c>
      <c r="N58" s="46">
        <f>VLOOKUP(_xlfn.CONCAT(L58,$M$49),'data S&amp;P500'!$AY$2:$BH$73,6,0)</f>
        <v>3878</v>
      </c>
      <c r="O58" s="46" t="e">
        <f t="shared" si="96"/>
        <v>#VALUE!</v>
      </c>
      <c r="P58" s="48">
        <f>VLOOKUP(_xlfn.CONCAT(L58,M49),'data S&amp;P500'!$A$2:$J$73,6,0)</f>
        <v>440.34</v>
      </c>
      <c r="Q58" s="20">
        <f t="shared" si="119"/>
        <v>474.96</v>
      </c>
      <c r="R58" s="47">
        <f t="shared" si="92"/>
        <v>7.289034866093988E-2</v>
      </c>
      <c r="S58" s="46" t="e">
        <f t="shared" si="97"/>
        <v>#VALUE!</v>
      </c>
      <c r="T58" s="46">
        <f t="shared" si="120"/>
        <v>4065.41</v>
      </c>
      <c r="U58" s="46" t="e">
        <f t="shared" si="98"/>
        <v>#VALUE!</v>
      </c>
      <c r="V58" s="46" t="e">
        <f t="shared" si="99"/>
        <v>#VALUE!</v>
      </c>
      <c r="W58" s="47" t="e">
        <f t="shared" si="100"/>
        <v>#VALUE!</v>
      </c>
      <c r="X58" s="20"/>
      <c r="Y58" s="20" t="s">
        <v>34</v>
      </c>
      <c r="Z58" s="49" t="e">
        <f t="shared" si="101"/>
        <v>#VALUE!</v>
      </c>
      <c r="AA58" s="46">
        <f t="shared" si="102"/>
        <v>3878</v>
      </c>
      <c r="AB58" s="46" t="e">
        <f t="shared" si="103"/>
        <v>#VALUE!</v>
      </c>
      <c r="AC58" s="48">
        <f t="shared" si="104"/>
        <v>440.34</v>
      </c>
      <c r="AD58" s="48">
        <f t="shared" si="105"/>
        <v>474.96</v>
      </c>
      <c r="AE58" s="47">
        <f t="shared" si="93"/>
        <v>7.289034866093988E-2</v>
      </c>
      <c r="AF58" s="46" t="e">
        <f t="shared" si="106"/>
        <v>#VALUE!</v>
      </c>
      <c r="AG58" s="46">
        <f t="shared" si="121"/>
        <v>4065.41</v>
      </c>
      <c r="AH58" s="46" t="e">
        <f t="shared" si="107"/>
        <v>#VALUE!</v>
      </c>
      <c r="AI58" s="46" t="e">
        <f t="shared" si="108"/>
        <v>#VALUE!</v>
      </c>
      <c r="AJ58" s="47" t="e">
        <f t="shared" si="109"/>
        <v>#VALUE!</v>
      </c>
      <c r="AL58" s="20" t="s">
        <v>34</v>
      </c>
      <c r="AM58" s="49">
        <f t="shared" si="110"/>
        <v>0</v>
      </c>
      <c r="AN58" s="46">
        <f t="shared" si="111"/>
        <v>3878</v>
      </c>
      <c r="AO58" s="46">
        <f t="shared" si="112"/>
        <v>0</v>
      </c>
      <c r="AP58" s="48">
        <f t="shared" si="113"/>
        <v>440.34</v>
      </c>
      <c r="AQ58" s="48">
        <f t="shared" si="114"/>
        <v>474.96</v>
      </c>
      <c r="AR58" s="47">
        <f t="shared" si="94"/>
        <v>7.289034866093988E-2</v>
      </c>
      <c r="AS58" s="46">
        <f t="shared" si="115"/>
        <v>0</v>
      </c>
      <c r="AT58" s="46">
        <f t="shared" si="122"/>
        <v>4065.41</v>
      </c>
      <c r="AU58" s="46">
        <f t="shared" si="116"/>
        <v>0</v>
      </c>
      <c r="AV58" s="46">
        <f t="shared" si="117"/>
        <v>0</v>
      </c>
      <c r="AW58" s="47" t="e">
        <f t="shared" si="118"/>
        <v>#DIV/0!</v>
      </c>
      <c r="AY58" s="1" t="str">
        <f t="shared" si="4"/>
        <v>abril2020</v>
      </c>
      <c r="AZ58" s="1" t="s">
        <v>75</v>
      </c>
      <c r="BA58" s="1">
        <v>2020</v>
      </c>
      <c r="BB58" s="59">
        <v>43834</v>
      </c>
      <c r="BC58" s="60">
        <v>3952.58</v>
      </c>
      <c r="BD58" s="60">
        <v>4059</v>
      </c>
      <c r="BE58" s="60">
        <v>4123.18</v>
      </c>
      <c r="BF58" s="60">
        <v>3825.91</v>
      </c>
      <c r="BH58" s="61">
        <v>-2.6200000000000001E-2</v>
      </c>
    </row>
    <row r="59" spans="1:60" x14ac:dyDescent="0.25">
      <c r="A59" s="1" t="str">
        <f t="shared" si="0"/>
        <v>marzo2020</v>
      </c>
      <c r="B59" s="1" t="s">
        <v>77</v>
      </c>
      <c r="C59" s="1">
        <v>2020</v>
      </c>
      <c r="D59" s="62">
        <v>43833</v>
      </c>
      <c r="E59" s="1">
        <v>257.75</v>
      </c>
      <c r="F59" s="1">
        <v>298.20999999999998</v>
      </c>
      <c r="G59" s="1">
        <v>313.83999999999997</v>
      </c>
      <c r="H59" s="1">
        <v>218.26</v>
      </c>
      <c r="I59" s="1" t="s">
        <v>120</v>
      </c>
      <c r="J59" s="1">
        <v>-0.13</v>
      </c>
      <c r="L59" s="20" t="s">
        <v>35</v>
      </c>
      <c r="M59" s="46" t="str">
        <f t="shared" si="95"/>
        <v/>
      </c>
      <c r="N59" s="46">
        <f>VLOOKUP(_xlfn.CONCAT(L59,$M$49),'data S&amp;P500'!$AY$2:$BH$73,6,0)</f>
        <v>3769.15</v>
      </c>
      <c r="O59" s="46" t="e">
        <f t="shared" si="96"/>
        <v>#VALUE!</v>
      </c>
      <c r="P59" s="48">
        <f>VLOOKUP(_xlfn.CONCAT(L59,M49),'data S&amp;P500'!$A$2:$J$73,6,0)</f>
        <v>452.56</v>
      </c>
      <c r="Q59" s="20">
        <f t="shared" si="119"/>
        <v>474.96</v>
      </c>
      <c r="R59" s="47">
        <f t="shared" si="92"/>
        <v>4.7161866262422053E-2</v>
      </c>
      <c r="S59" s="46" t="e">
        <f t="shared" si="97"/>
        <v>#VALUE!</v>
      </c>
      <c r="T59" s="46">
        <f t="shared" si="120"/>
        <v>4065.41</v>
      </c>
      <c r="U59" s="46" t="e">
        <f t="shared" si="98"/>
        <v>#VALUE!</v>
      </c>
      <c r="V59" s="46" t="e">
        <f t="shared" si="99"/>
        <v>#VALUE!</v>
      </c>
      <c r="W59" s="47" t="e">
        <f t="shared" si="100"/>
        <v>#VALUE!</v>
      </c>
      <c r="X59" s="20"/>
      <c r="Y59" s="20" t="s">
        <v>35</v>
      </c>
      <c r="Z59" s="49" t="e">
        <f t="shared" si="101"/>
        <v>#VALUE!</v>
      </c>
      <c r="AA59" s="46">
        <f t="shared" si="102"/>
        <v>3769.15</v>
      </c>
      <c r="AB59" s="46" t="e">
        <f t="shared" si="103"/>
        <v>#VALUE!</v>
      </c>
      <c r="AC59" s="48">
        <f t="shared" si="104"/>
        <v>452.56</v>
      </c>
      <c r="AD59" s="48">
        <f t="shared" si="105"/>
        <v>474.96</v>
      </c>
      <c r="AE59" s="47">
        <f t="shared" si="93"/>
        <v>4.7161866262422053E-2</v>
      </c>
      <c r="AF59" s="46" t="e">
        <f t="shared" si="106"/>
        <v>#VALUE!</v>
      </c>
      <c r="AG59" s="46">
        <f t="shared" si="121"/>
        <v>4065.41</v>
      </c>
      <c r="AH59" s="46" t="e">
        <f t="shared" si="107"/>
        <v>#VALUE!</v>
      </c>
      <c r="AI59" s="46" t="e">
        <f t="shared" si="108"/>
        <v>#VALUE!</v>
      </c>
      <c r="AJ59" s="47" t="e">
        <f t="shared" si="109"/>
        <v>#VALUE!</v>
      </c>
      <c r="AL59" s="20" t="s">
        <v>35</v>
      </c>
      <c r="AM59" s="49">
        <f t="shared" si="110"/>
        <v>0</v>
      </c>
      <c r="AN59" s="46">
        <f t="shared" si="111"/>
        <v>3769.15</v>
      </c>
      <c r="AO59" s="46">
        <f t="shared" si="112"/>
        <v>0</v>
      </c>
      <c r="AP59" s="48">
        <f t="shared" si="113"/>
        <v>452.56</v>
      </c>
      <c r="AQ59" s="48">
        <f t="shared" si="114"/>
        <v>474.96</v>
      </c>
      <c r="AR59" s="47">
        <f t="shared" si="94"/>
        <v>4.7161866262422053E-2</v>
      </c>
      <c r="AS59" s="46">
        <f t="shared" si="115"/>
        <v>0</v>
      </c>
      <c r="AT59" s="46">
        <f t="shared" si="122"/>
        <v>4065.41</v>
      </c>
      <c r="AU59" s="46">
        <f t="shared" si="116"/>
        <v>0</v>
      </c>
      <c r="AV59" s="46">
        <f t="shared" si="117"/>
        <v>0</v>
      </c>
      <c r="AW59" s="47" t="e">
        <f t="shared" si="118"/>
        <v>#DIV/0!</v>
      </c>
      <c r="AY59" s="1" t="str">
        <f t="shared" si="4"/>
        <v>marzo2020</v>
      </c>
      <c r="AZ59" s="1" t="s">
        <v>77</v>
      </c>
      <c r="BA59" s="1">
        <v>2020</v>
      </c>
      <c r="BB59" s="59">
        <v>43833</v>
      </c>
      <c r="BC59" s="60">
        <v>4059</v>
      </c>
      <c r="BD59" s="60">
        <v>3527</v>
      </c>
      <c r="BE59" s="60">
        <v>4220.38</v>
      </c>
      <c r="BF59" s="60">
        <v>3414.94</v>
      </c>
      <c r="BH59" s="61">
        <v>0.15210000000000001</v>
      </c>
    </row>
    <row r="60" spans="1:60" x14ac:dyDescent="0.25">
      <c r="A60" s="1" t="str">
        <f t="shared" si="0"/>
        <v>febrero2020</v>
      </c>
      <c r="B60" s="1" t="s">
        <v>79</v>
      </c>
      <c r="C60" s="1">
        <v>2020</v>
      </c>
      <c r="D60" s="62">
        <v>43832</v>
      </c>
      <c r="E60" s="1">
        <v>296.26</v>
      </c>
      <c r="F60" s="1">
        <v>323.35000000000002</v>
      </c>
      <c r="G60" s="1">
        <v>339.08</v>
      </c>
      <c r="H60" s="1">
        <v>285.54000000000002</v>
      </c>
      <c r="I60" s="1" t="s">
        <v>121</v>
      </c>
      <c r="J60" s="1">
        <v>-7.9200000000000007E-2</v>
      </c>
      <c r="L60" s="20" t="s">
        <v>36</v>
      </c>
      <c r="M60" s="46" t="str">
        <f t="shared" si="95"/>
        <v/>
      </c>
      <c r="N60" s="46">
        <f>VLOOKUP(_xlfn.CONCAT(L60,$M$49),'data S&amp;P500'!$AY$2:$BH$73,6,0)</f>
        <v>3807.8</v>
      </c>
      <c r="O60" s="46" t="e">
        <f t="shared" si="96"/>
        <v>#VALUE!</v>
      </c>
      <c r="P60" s="48">
        <f>VLOOKUP(_xlfn.CONCAT(L60,M49),'data S&amp;P500'!$A$2:$J$73,6,0)</f>
        <v>430.98</v>
      </c>
      <c r="Q60" s="20">
        <f t="shared" si="119"/>
        <v>474.96</v>
      </c>
      <c r="R60" s="47">
        <f t="shared" si="92"/>
        <v>9.2597271349166163E-2</v>
      </c>
      <c r="S60" s="46" t="e">
        <f t="shared" si="97"/>
        <v>#VALUE!</v>
      </c>
      <c r="T60" s="46">
        <f t="shared" si="120"/>
        <v>4065.41</v>
      </c>
      <c r="U60" s="46" t="e">
        <f t="shared" si="98"/>
        <v>#VALUE!</v>
      </c>
      <c r="V60" s="46" t="e">
        <f t="shared" si="99"/>
        <v>#VALUE!</v>
      </c>
      <c r="W60" s="47" t="e">
        <f t="shared" si="100"/>
        <v>#VALUE!</v>
      </c>
      <c r="X60" s="20"/>
      <c r="Y60" s="20" t="s">
        <v>36</v>
      </c>
      <c r="Z60" s="49" t="e">
        <f t="shared" si="101"/>
        <v>#VALUE!</v>
      </c>
      <c r="AA60" s="46">
        <f t="shared" si="102"/>
        <v>3807.8</v>
      </c>
      <c r="AB60" s="46" t="e">
        <f t="shared" si="103"/>
        <v>#VALUE!</v>
      </c>
      <c r="AC60" s="48">
        <f t="shared" si="104"/>
        <v>430.98</v>
      </c>
      <c r="AD60" s="48">
        <f t="shared" si="105"/>
        <v>474.96</v>
      </c>
      <c r="AE60" s="47">
        <f t="shared" si="93"/>
        <v>9.2597271349166163E-2</v>
      </c>
      <c r="AF60" s="46" t="e">
        <f t="shared" si="106"/>
        <v>#VALUE!</v>
      </c>
      <c r="AG60" s="46">
        <f t="shared" si="121"/>
        <v>4065.41</v>
      </c>
      <c r="AH60" s="46" t="e">
        <f t="shared" si="107"/>
        <v>#VALUE!</v>
      </c>
      <c r="AI60" s="46" t="e">
        <f t="shared" si="108"/>
        <v>#VALUE!</v>
      </c>
      <c r="AJ60" s="47" t="e">
        <f t="shared" si="109"/>
        <v>#VALUE!</v>
      </c>
      <c r="AL60" s="20" t="s">
        <v>36</v>
      </c>
      <c r="AM60" s="49">
        <f t="shared" si="110"/>
        <v>0</v>
      </c>
      <c r="AN60" s="46">
        <f t="shared" si="111"/>
        <v>3807.8</v>
      </c>
      <c r="AO60" s="46">
        <f t="shared" si="112"/>
        <v>0</v>
      </c>
      <c r="AP60" s="48">
        <f t="shared" si="113"/>
        <v>430.98</v>
      </c>
      <c r="AQ60" s="48">
        <f t="shared" si="114"/>
        <v>474.96</v>
      </c>
      <c r="AR60" s="47">
        <f t="shared" si="94"/>
        <v>9.2597271349166163E-2</v>
      </c>
      <c r="AS60" s="46">
        <f t="shared" si="115"/>
        <v>0</v>
      </c>
      <c r="AT60" s="46">
        <f t="shared" si="122"/>
        <v>4065.41</v>
      </c>
      <c r="AU60" s="46">
        <f t="shared" si="116"/>
        <v>0</v>
      </c>
      <c r="AV60" s="46">
        <f t="shared" si="117"/>
        <v>0</v>
      </c>
      <c r="AW60" s="47" t="e">
        <f t="shared" si="118"/>
        <v>#DIV/0!</v>
      </c>
      <c r="AY60" s="1" t="str">
        <f t="shared" si="4"/>
        <v>febrero2020</v>
      </c>
      <c r="AZ60" s="1" t="s">
        <v>79</v>
      </c>
      <c r="BA60" s="1">
        <v>2020</v>
      </c>
      <c r="BB60" s="59">
        <v>43832</v>
      </c>
      <c r="BC60" s="60">
        <v>3523</v>
      </c>
      <c r="BD60" s="60">
        <v>3420</v>
      </c>
      <c r="BE60" s="60">
        <v>3550.01</v>
      </c>
      <c r="BF60" s="60">
        <v>3339</v>
      </c>
      <c r="BH60" s="61">
        <v>3.1E-2</v>
      </c>
    </row>
    <row r="61" spans="1:60" x14ac:dyDescent="0.25">
      <c r="A61" s="1" t="str">
        <f t="shared" si="0"/>
        <v>enero2020</v>
      </c>
      <c r="B61" s="1" t="s">
        <v>81</v>
      </c>
      <c r="C61" s="1">
        <v>2020</v>
      </c>
      <c r="D61" s="62">
        <v>43831</v>
      </c>
      <c r="E61" s="1">
        <v>321.73</v>
      </c>
      <c r="F61" s="1">
        <v>323.54000000000002</v>
      </c>
      <c r="G61" s="1">
        <v>332.95</v>
      </c>
      <c r="H61" s="1">
        <v>320.36</v>
      </c>
      <c r="I61" s="1" t="s">
        <v>90</v>
      </c>
      <c r="J61" s="1">
        <v>-4.0000000000000002E-4</v>
      </c>
      <c r="L61" s="20" t="s">
        <v>37</v>
      </c>
      <c r="M61" s="46" t="str">
        <f t="shared" si="95"/>
        <v/>
      </c>
      <c r="N61" s="46">
        <f>VLOOKUP(_xlfn.CONCAT(L61,$M$49),'data S&amp;P500'!$AY$2:$BH$73,6,0)</f>
        <v>3760</v>
      </c>
      <c r="O61" s="46" t="e">
        <f t="shared" si="96"/>
        <v>#VALUE!</v>
      </c>
      <c r="P61" s="48">
        <f>VLOOKUP(_xlfn.CONCAT(L61,M49),'data S&amp;P500'!$A$2:$J$73,6,0)</f>
        <v>460.3</v>
      </c>
      <c r="Q61" s="20">
        <f t="shared" si="119"/>
        <v>474.96</v>
      </c>
      <c r="R61" s="47">
        <f t="shared" si="92"/>
        <v>3.0865757116388684E-2</v>
      </c>
      <c r="S61" s="46" t="e">
        <f t="shared" si="97"/>
        <v>#VALUE!</v>
      </c>
      <c r="T61" s="46">
        <f t="shared" si="120"/>
        <v>4065.41</v>
      </c>
      <c r="U61" s="46" t="e">
        <f t="shared" si="98"/>
        <v>#VALUE!</v>
      </c>
      <c r="V61" s="46" t="e">
        <f t="shared" si="99"/>
        <v>#VALUE!</v>
      </c>
      <c r="W61" s="47" t="e">
        <f t="shared" si="100"/>
        <v>#VALUE!</v>
      </c>
      <c r="X61" s="20"/>
      <c r="Y61" s="20" t="s">
        <v>37</v>
      </c>
      <c r="Z61" s="49" t="e">
        <f t="shared" si="101"/>
        <v>#VALUE!</v>
      </c>
      <c r="AA61" s="46">
        <f t="shared" si="102"/>
        <v>3760</v>
      </c>
      <c r="AB61" s="46" t="e">
        <f t="shared" si="103"/>
        <v>#VALUE!</v>
      </c>
      <c r="AC61" s="48">
        <f t="shared" si="104"/>
        <v>460.3</v>
      </c>
      <c r="AD61" s="48">
        <f t="shared" si="105"/>
        <v>474.96</v>
      </c>
      <c r="AE61" s="47">
        <f t="shared" si="93"/>
        <v>3.0865757116388684E-2</v>
      </c>
      <c r="AF61" s="46" t="e">
        <f t="shared" si="106"/>
        <v>#VALUE!</v>
      </c>
      <c r="AG61" s="46">
        <f t="shared" si="121"/>
        <v>4065.41</v>
      </c>
      <c r="AH61" s="46" t="e">
        <f t="shared" si="107"/>
        <v>#VALUE!</v>
      </c>
      <c r="AI61" s="46" t="e">
        <f t="shared" si="108"/>
        <v>#VALUE!</v>
      </c>
      <c r="AJ61" s="47" t="e">
        <f t="shared" si="109"/>
        <v>#VALUE!</v>
      </c>
      <c r="AL61" s="20" t="s">
        <v>37</v>
      </c>
      <c r="AM61" s="49">
        <f t="shared" si="110"/>
        <v>0</v>
      </c>
      <c r="AN61" s="46">
        <f t="shared" si="111"/>
        <v>3760</v>
      </c>
      <c r="AO61" s="46">
        <f t="shared" si="112"/>
        <v>0</v>
      </c>
      <c r="AP61" s="48">
        <f t="shared" si="113"/>
        <v>460.3</v>
      </c>
      <c r="AQ61" s="48">
        <f t="shared" si="114"/>
        <v>474.96</v>
      </c>
      <c r="AR61" s="47">
        <f t="shared" si="94"/>
        <v>3.0865757116388684E-2</v>
      </c>
      <c r="AS61" s="46">
        <f t="shared" si="115"/>
        <v>0</v>
      </c>
      <c r="AT61" s="46">
        <f t="shared" si="122"/>
        <v>4065.41</v>
      </c>
      <c r="AU61" s="46">
        <f t="shared" si="116"/>
        <v>0</v>
      </c>
      <c r="AV61" s="46">
        <f t="shared" si="117"/>
        <v>0</v>
      </c>
      <c r="AW61" s="47" t="e">
        <f t="shared" si="118"/>
        <v>#DIV/0!</v>
      </c>
      <c r="AY61" s="1" t="str">
        <f t="shared" si="4"/>
        <v>enero2020</v>
      </c>
      <c r="AZ61" s="1" t="s">
        <v>81</v>
      </c>
      <c r="BA61" s="1">
        <v>2020</v>
      </c>
      <c r="BB61" s="59">
        <v>43831</v>
      </c>
      <c r="BC61" s="60">
        <v>3417</v>
      </c>
      <c r="BD61" s="60">
        <v>3287.23</v>
      </c>
      <c r="BE61" s="60">
        <v>3429.45</v>
      </c>
      <c r="BF61" s="60">
        <v>3238.6</v>
      </c>
      <c r="BH61" s="61">
        <v>4.0099999999999997E-2</v>
      </c>
    </row>
    <row r="62" spans="1:60" x14ac:dyDescent="0.25">
      <c r="A62" s="1" t="str">
        <f t="shared" si="0"/>
        <v>diciembre2019</v>
      </c>
      <c r="B62" s="1" t="s">
        <v>59</v>
      </c>
      <c r="C62" s="1">
        <v>2019</v>
      </c>
      <c r="D62" s="62">
        <v>43477</v>
      </c>
      <c r="E62" s="1">
        <v>321.86</v>
      </c>
      <c r="F62" s="1">
        <v>314.58999999999997</v>
      </c>
      <c r="G62" s="1">
        <v>323.8</v>
      </c>
      <c r="H62" s="1">
        <v>307.13</v>
      </c>
      <c r="I62" s="1" t="s">
        <v>122</v>
      </c>
      <c r="J62" s="1">
        <v>2.4E-2</v>
      </c>
      <c r="L62" s="20" t="s">
        <v>38</v>
      </c>
      <c r="M62" s="46" t="str">
        <f t="shared" si="95"/>
        <v/>
      </c>
      <c r="N62" s="46">
        <f>VLOOKUP(_xlfn.CONCAT(L62,$M$49),'data S&amp;P500'!$AY$2:$BH$73,6,0)</f>
        <v>3995</v>
      </c>
      <c r="O62" s="46" t="e">
        <f t="shared" si="96"/>
        <v>#VALUE!</v>
      </c>
      <c r="P62" s="48">
        <f>VLOOKUP(_xlfn.CONCAT(L62,M49),'data S&amp;P500'!$A$2:$J$73,6,0)</f>
        <v>461.64</v>
      </c>
      <c r="Q62" s="20">
        <f t="shared" si="119"/>
        <v>474.96</v>
      </c>
      <c r="R62" s="47">
        <f t="shared" si="92"/>
        <v>2.8044466902475983E-2</v>
      </c>
      <c r="S62" s="46" t="e">
        <f t="shared" si="97"/>
        <v>#VALUE!</v>
      </c>
      <c r="T62" s="46">
        <f t="shared" si="120"/>
        <v>4065.41</v>
      </c>
      <c r="U62" s="46" t="e">
        <f t="shared" si="98"/>
        <v>#VALUE!</v>
      </c>
      <c r="V62" s="46" t="e">
        <f t="shared" si="99"/>
        <v>#VALUE!</v>
      </c>
      <c r="W62" s="47" t="e">
        <f t="shared" si="100"/>
        <v>#VALUE!</v>
      </c>
      <c r="X62" s="20"/>
      <c r="Y62" s="20" t="s">
        <v>38</v>
      </c>
      <c r="Z62" s="49" t="e">
        <f t="shared" si="101"/>
        <v>#VALUE!</v>
      </c>
      <c r="AA62" s="46">
        <f t="shared" si="102"/>
        <v>3995</v>
      </c>
      <c r="AB62" s="46" t="e">
        <f t="shared" si="103"/>
        <v>#VALUE!</v>
      </c>
      <c r="AC62" s="48">
        <f t="shared" si="104"/>
        <v>461.64</v>
      </c>
      <c r="AD62" s="48">
        <f t="shared" si="105"/>
        <v>474.96</v>
      </c>
      <c r="AE62" s="47">
        <f t="shared" si="93"/>
        <v>2.8044466902475983E-2</v>
      </c>
      <c r="AF62" s="46" t="e">
        <f t="shared" si="106"/>
        <v>#VALUE!</v>
      </c>
      <c r="AG62" s="46">
        <f t="shared" si="121"/>
        <v>4065.41</v>
      </c>
      <c r="AH62" s="46" t="e">
        <f t="shared" si="107"/>
        <v>#VALUE!</v>
      </c>
      <c r="AI62" s="46" t="e">
        <f t="shared" si="108"/>
        <v>#VALUE!</v>
      </c>
      <c r="AJ62" s="47" t="e">
        <f t="shared" si="109"/>
        <v>#VALUE!</v>
      </c>
      <c r="AL62" s="20" t="s">
        <v>38</v>
      </c>
      <c r="AM62" s="49">
        <f t="shared" si="110"/>
        <v>0</v>
      </c>
      <c r="AN62" s="46">
        <f t="shared" si="111"/>
        <v>3995</v>
      </c>
      <c r="AO62" s="46">
        <f t="shared" si="112"/>
        <v>0</v>
      </c>
      <c r="AP62" s="48">
        <f t="shared" si="113"/>
        <v>461.64</v>
      </c>
      <c r="AQ62" s="48">
        <f t="shared" si="114"/>
        <v>474.96</v>
      </c>
      <c r="AR62" s="47">
        <f t="shared" si="94"/>
        <v>2.8044466902475983E-2</v>
      </c>
      <c r="AS62" s="46">
        <f t="shared" si="115"/>
        <v>0</v>
      </c>
      <c r="AT62" s="46">
        <f t="shared" si="122"/>
        <v>4065.41</v>
      </c>
      <c r="AU62" s="46">
        <f t="shared" si="116"/>
        <v>0</v>
      </c>
      <c r="AV62" s="46">
        <f t="shared" si="117"/>
        <v>0</v>
      </c>
      <c r="AW62" s="47" t="e">
        <f t="shared" si="118"/>
        <v>#DIV/0!</v>
      </c>
      <c r="AY62" s="1" t="str">
        <f t="shared" si="4"/>
        <v>diciembre2019</v>
      </c>
      <c r="AZ62" s="1" t="s">
        <v>59</v>
      </c>
      <c r="BA62" s="1">
        <v>2019</v>
      </c>
      <c r="BB62" s="59">
        <v>43477</v>
      </c>
      <c r="BC62" s="60">
        <v>3285.23</v>
      </c>
      <c r="BD62" s="60">
        <v>3518</v>
      </c>
      <c r="BE62" s="60">
        <v>3528.75</v>
      </c>
      <c r="BF62" s="60">
        <v>3264.68</v>
      </c>
      <c r="BH62" s="61">
        <v>-6.5500000000000003E-2</v>
      </c>
    </row>
    <row r="63" spans="1:60" x14ac:dyDescent="0.25">
      <c r="A63" s="1" t="str">
        <f t="shared" si="0"/>
        <v>noviembre2019</v>
      </c>
      <c r="B63" s="1" t="s">
        <v>61</v>
      </c>
      <c r="C63" s="1">
        <v>2019</v>
      </c>
      <c r="D63" s="62">
        <v>43476</v>
      </c>
      <c r="E63" s="1">
        <v>314.31</v>
      </c>
      <c r="F63" s="1">
        <v>304.92</v>
      </c>
      <c r="G63" s="1">
        <v>315.48</v>
      </c>
      <c r="H63" s="1">
        <v>304.74</v>
      </c>
      <c r="I63" s="1" t="s">
        <v>70</v>
      </c>
      <c r="J63" s="1">
        <v>3.6200000000000003E-2</v>
      </c>
      <c r="L63" s="20"/>
      <c r="M63" s="46">
        <f>SUM(M51:M62)</f>
        <v>0</v>
      </c>
      <c r="N63" s="46"/>
      <c r="O63" s="46"/>
      <c r="P63" s="20"/>
      <c r="Q63" s="20"/>
      <c r="R63" s="47" t="e">
        <f>S63/M63</f>
        <v>#VALUE!</v>
      </c>
      <c r="S63" s="46" t="e">
        <f>SUM(S51:S62)</f>
        <v>#VALUE!</v>
      </c>
      <c r="T63" s="46"/>
      <c r="U63" s="46"/>
      <c r="V63" s="46" t="e">
        <f>SUM(V51:V62)</f>
        <v>#VALUE!</v>
      </c>
      <c r="W63" s="63" t="e">
        <f>V63/M63</f>
        <v>#VALUE!</v>
      </c>
      <c r="X63" s="20"/>
      <c r="Y63" s="20"/>
      <c r="Z63" s="46" t="e">
        <f>SUM(Z51:Z62)</f>
        <v>#VALUE!</v>
      </c>
      <c r="AA63" s="46"/>
      <c r="AB63" s="46"/>
      <c r="AC63" s="20"/>
      <c r="AD63" s="20"/>
      <c r="AE63" s="47" t="e">
        <f>AF63/Z63</f>
        <v>#VALUE!</v>
      </c>
      <c r="AF63" s="46" t="e">
        <f>SUM(AF51:AF62)</f>
        <v>#VALUE!</v>
      </c>
      <c r="AG63" s="46"/>
      <c r="AH63" s="46"/>
      <c r="AI63" s="46" t="e">
        <f>SUM(AI51:AI62)</f>
        <v>#VALUE!</v>
      </c>
      <c r="AJ63" s="63" t="e">
        <f>AI63/Z63</f>
        <v>#VALUE!</v>
      </c>
      <c r="AL63" s="20"/>
      <c r="AM63" s="46">
        <f>SUM(AM51:AM62)</f>
        <v>0</v>
      </c>
      <c r="AN63" s="46"/>
      <c r="AO63" s="46"/>
      <c r="AP63" s="20"/>
      <c r="AQ63" s="20"/>
      <c r="AR63" s="47" t="e">
        <f>AS63/AM63</f>
        <v>#DIV/0!</v>
      </c>
      <c r="AS63" s="46">
        <f>SUM(AS51:AS62)</f>
        <v>0</v>
      </c>
      <c r="AT63" s="46"/>
      <c r="AU63" s="46"/>
      <c r="AV63" s="46">
        <f>SUM(AV51:AV62)</f>
        <v>0</v>
      </c>
      <c r="AW63" s="63" t="e">
        <f>AV63/AM63</f>
        <v>#DIV/0!</v>
      </c>
      <c r="AY63" s="1" t="str">
        <f t="shared" si="4"/>
        <v>noviembre2019</v>
      </c>
      <c r="AZ63" s="1" t="s">
        <v>61</v>
      </c>
      <c r="BA63" s="1">
        <v>2019</v>
      </c>
      <c r="BB63" s="59">
        <v>43476</v>
      </c>
      <c r="BC63" s="60">
        <v>3515.5</v>
      </c>
      <c r="BD63" s="60">
        <v>3380</v>
      </c>
      <c r="BE63" s="60">
        <v>3549.2</v>
      </c>
      <c r="BF63" s="60">
        <v>3295.06</v>
      </c>
      <c r="BH63" s="61">
        <v>4.1000000000000002E-2</v>
      </c>
    </row>
    <row r="64" spans="1:60" x14ac:dyDescent="0.25">
      <c r="A64" s="1" t="str">
        <f t="shared" si="0"/>
        <v>octubre2019</v>
      </c>
      <c r="B64" s="1" t="s">
        <v>63</v>
      </c>
      <c r="C64" s="1">
        <v>2019</v>
      </c>
      <c r="D64" s="62">
        <v>43475</v>
      </c>
      <c r="E64" s="1">
        <v>303.33</v>
      </c>
      <c r="F64" s="1">
        <v>297.74</v>
      </c>
      <c r="G64" s="1">
        <v>304.55</v>
      </c>
      <c r="H64" s="1">
        <v>284.82</v>
      </c>
      <c r="I64" s="1" t="s">
        <v>123</v>
      </c>
      <c r="J64" s="1">
        <v>2.2100000000000002E-2</v>
      </c>
      <c r="AY64" s="1" t="str">
        <f t="shared" si="4"/>
        <v>octubre2019</v>
      </c>
      <c r="AZ64" s="1" t="s">
        <v>63</v>
      </c>
      <c r="BA64" s="1">
        <v>2019</v>
      </c>
      <c r="BB64" s="59">
        <v>43475</v>
      </c>
      <c r="BC64" s="60">
        <v>3377</v>
      </c>
      <c r="BD64" s="60">
        <v>3480</v>
      </c>
      <c r="BE64" s="60">
        <v>3504</v>
      </c>
      <c r="BF64" s="60">
        <v>3369.5</v>
      </c>
      <c r="BH64" s="61">
        <v>-2.87E-2</v>
      </c>
    </row>
    <row r="65" spans="1:60" x14ac:dyDescent="0.25">
      <c r="A65" s="1" t="str">
        <f t="shared" si="0"/>
        <v>septiembre2019</v>
      </c>
      <c r="B65" s="1" t="s">
        <v>65</v>
      </c>
      <c r="C65" s="1">
        <v>2019</v>
      </c>
      <c r="D65" s="62">
        <v>43474</v>
      </c>
      <c r="E65" s="1">
        <v>296.77</v>
      </c>
      <c r="F65" s="1">
        <v>290.57</v>
      </c>
      <c r="G65" s="1">
        <v>302.63</v>
      </c>
      <c r="H65" s="1">
        <v>289.27</v>
      </c>
      <c r="I65" s="1" t="s">
        <v>124</v>
      </c>
      <c r="J65" s="1">
        <v>1.4800000000000001E-2</v>
      </c>
      <c r="L65" s="20" t="s">
        <v>43</v>
      </c>
      <c r="M65" s="20">
        <v>2020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Y65" s="1" t="str">
        <f t="shared" si="4"/>
        <v>septiembre2019</v>
      </c>
      <c r="AZ65" s="1" t="s">
        <v>65</v>
      </c>
      <c r="BA65" s="1">
        <v>2019</v>
      </c>
      <c r="BB65" s="59">
        <v>43474</v>
      </c>
      <c r="BC65" s="60">
        <v>3476.75</v>
      </c>
      <c r="BD65" s="60">
        <v>3442.65</v>
      </c>
      <c r="BE65" s="60">
        <v>3491</v>
      </c>
      <c r="BF65" s="60">
        <v>3346.25</v>
      </c>
      <c r="BH65" s="61">
        <v>1.0800000000000001E-2</v>
      </c>
    </row>
    <row r="66" spans="1:60" x14ac:dyDescent="0.25">
      <c r="A66" s="1" t="str">
        <f t="shared" si="0"/>
        <v>agosto2019</v>
      </c>
      <c r="B66" s="1" t="s">
        <v>67</v>
      </c>
      <c r="C66" s="1">
        <v>2019</v>
      </c>
      <c r="D66" s="62">
        <v>43473</v>
      </c>
      <c r="E66" s="1">
        <v>292.45</v>
      </c>
      <c r="F66" s="1">
        <v>297.60000000000002</v>
      </c>
      <c r="G66" s="1">
        <v>300.87</v>
      </c>
      <c r="H66" s="1">
        <v>281.72000000000003</v>
      </c>
      <c r="I66" s="1" t="s">
        <v>125</v>
      </c>
      <c r="J66" s="1">
        <v>-1.67E-2</v>
      </c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Y66" s="1" t="str">
        <f t="shared" si="4"/>
        <v>agosto2019</v>
      </c>
      <c r="AZ66" s="1" t="s">
        <v>67</v>
      </c>
      <c r="BA66" s="1">
        <v>2019</v>
      </c>
      <c r="BB66" s="59">
        <v>43473</v>
      </c>
      <c r="BC66" s="60">
        <v>3439.65</v>
      </c>
      <c r="BD66" s="60">
        <v>3280.93</v>
      </c>
      <c r="BE66" s="60">
        <v>3495.54</v>
      </c>
      <c r="BF66" s="60">
        <v>3279.93</v>
      </c>
      <c r="BH66" s="61">
        <v>4.9200000000000001E-2</v>
      </c>
    </row>
    <row r="67" spans="1:60" x14ac:dyDescent="0.25">
      <c r="A67" s="1" t="str">
        <f t="shared" ref="A67:A73" si="123">_xlfn.CONCAT(B67,C67)</f>
        <v>julio2019</v>
      </c>
      <c r="B67" s="1" t="s">
        <v>69</v>
      </c>
      <c r="C67" s="1">
        <v>2019</v>
      </c>
      <c r="D67" s="62">
        <v>43472</v>
      </c>
      <c r="E67" s="1">
        <v>297.43</v>
      </c>
      <c r="F67" s="1">
        <v>296.68</v>
      </c>
      <c r="G67" s="1">
        <v>302.23</v>
      </c>
      <c r="H67" s="1">
        <v>294.33</v>
      </c>
      <c r="I67" s="1" t="s">
        <v>126</v>
      </c>
      <c r="J67" s="1">
        <v>1.5100000000000001E-2</v>
      </c>
      <c r="L67" s="20" t="s">
        <v>27</v>
      </c>
      <c r="M67" s="46" t="str">
        <f>M51</f>
        <v/>
      </c>
      <c r="N67" s="46">
        <f>VLOOKUP(_xlfn.CONCAT(L67,$M$65),'data S&amp;P500'!$AY$2:$BH$73,6,0)</f>
        <v>3287.23</v>
      </c>
      <c r="O67" s="46" t="e">
        <f>M67/N67</f>
        <v>#VALUE!</v>
      </c>
      <c r="P67" s="48">
        <f>VLOOKUP(_xlfn.CONCAT(L67,M65),'data S&amp;P500'!$A$2:$J$73,6,0)</f>
        <v>323.54000000000002</v>
      </c>
      <c r="Q67" s="20">
        <f>VLOOKUP(_xlfn.CONCAT(L78,M65),$A$1:$E$73,5,0)</f>
        <v>373.88</v>
      </c>
      <c r="R67" s="47">
        <f t="shared" ref="R67:R78" si="124">(Q67-P67)/Q67</f>
        <v>0.13464213116507964</v>
      </c>
      <c r="S67" s="46" t="e">
        <f>O67*(1+R67)</f>
        <v>#VALUE!</v>
      </c>
      <c r="T67" s="46">
        <f>VLOOKUP(_xlfn.CONCAT(L78,M65),$AY$1:$BC$73,5,0)</f>
        <v>3414.5</v>
      </c>
      <c r="U67" s="46" t="e">
        <f>S67*T67</f>
        <v>#VALUE!</v>
      </c>
      <c r="V67" s="46" t="e">
        <f>U67-M67</f>
        <v>#VALUE!</v>
      </c>
      <c r="W67" s="47" t="e">
        <f>V67/M67</f>
        <v>#VALUE!</v>
      </c>
      <c r="X67" s="20"/>
      <c r="Y67" s="20" t="s">
        <v>27</v>
      </c>
      <c r="Z67" s="49" t="e">
        <f>Z51</f>
        <v>#VALUE!</v>
      </c>
      <c r="AA67" s="46">
        <f>N67</f>
        <v>3287.23</v>
      </c>
      <c r="AB67" s="46" t="e">
        <f>Z67/AA67</f>
        <v>#VALUE!</v>
      </c>
      <c r="AC67" s="48">
        <f>P67</f>
        <v>323.54000000000002</v>
      </c>
      <c r="AD67" s="48">
        <f>Q67</f>
        <v>373.88</v>
      </c>
      <c r="AE67" s="47">
        <f t="shared" ref="AE67:AE78" si="125">(AD67-AC67)/AD67</f>
        <v>0.13464213116507964</v>
      </c>
      <c r="AF67" s="46" t="e">
        <f>AB67*(1+AE67)</f>
        <v>#VALUE!</v>
      </c>
      <c r="AG67" s="46">
        <f>T67</f>
        <v>3414.5</v>
      </c>
      <c r="AH67" s="46" t="e">
        <f>AF67*AG67</f>
        <v>#VALUE!</v>
      </c>
      <c r="AI67" s="46" t="e">
        <f>AH67-Z67</f>
        <v>#VALUE!</v>
      </c>
      <c r="AJ67" s="47" t="e">
        <f>AI67/Z67</f>
        <v>#VALUE!</v>
      </c>
      <c r="AL67" s="20" t="s">
        <v>27</v>
      </c>
      <c r="AM67" s="49">
        <f>AM51</f>
        <v>0</v>
      </c>
      <c r="AN67" s="46">
        <f>AA67</f>
        <v>3287.23</v>
      </c>
      <c r="AO67" s="46">
        <f>AM67/AN67</f>
        <v>0</v>
      </c>
      <c r="AP67" s="48">
        <f>AC67</f>
        <v>323.54000000000002</v>
      </c>
      <c r="AQ67" s="48">
        <f>AD67</f>
        <v>373.88</v>
      </c>
      <c r="AR67" s="47">
        <f t="shared" ref="AR67:AR78" si="126">(AQ67-AP67)/AQ67</f>
        <v>0.13464213116507964</v>
      </c>
      <c r="AS67" s="46">
        <f>AO67*(1+AR67)</f>
        <v>0</v>
      </c>
      <c r="AT67" s="46">
        <f>AG67</f>
        <v>3414.5</v>
      </c>
      <c r="AU67" s="46">
        <f>AS67*AT67</f>
        <v>0</v>
      </c>
      <c r="AV67" s="46">
        <f>AU67-AM67</f>
        <v>0</v>
      </c>
      <c r="AW67" s="47" t="e">
        <f>AV67/AM67</f>
        <v>#DIV/0!</v>
      </c>
      <c r="AY67" s="1" t="str">
        <f t="shared" ref="AY67:AY73" si="127">_xlfn.CONCAT(AZ67,BA67)</f>
        <v>julio2019</v>
      </c>
      <c r="AZ67" s="1" t="s">
        <v>69</v>
      </c>
      <c r="BA67" s="1">
        <v>2019</v>
      </c>
      <c r="BB67" s="59">
        <v>43472</v>
      </c>
      <c r="BC67" s="60">
        <v>3278.43</v>
      </c>
      <c r="BD67" s="60">
        <v>3212.75</v>
      </c>
      <c r="BE67" s="60">
        <v>3304.85</v>
      </c>
      <c r="BF67" s="60">
        <v>3163.68</v>
      </c>
      <c r="BH67" s="61">
        <v>2.1000000000000001E-2</v>
      </c>
    </row>
    <row r="68" spans="1:60" x14ac:dyDescent="0.25">
      <c r="A68" s="1" t="str">
        <f t="shared" si="123"/>
        <v>junio2019</v>
      </c>
      <c r="B68" s="1" t="s">
        <v>71</v>
      </c>
      <c r="C68" s="1">
        <v>2019</v>
      </c>
      <c r="D68" s="62">
        <v>43471</v>
      </c>
      <c r="E68" s="1">
        <v>293</v>
      </c>
      <c r="F68" s="1">
        <v>275.31</v>
      </c>
      <c r="G68" s="1">
        <v>296.31</v>
      </c>
      <c r="H68" s="1">
        <v>273.08999999999997</v>
      </c>
      <c r="I68" s="1" t="s">
        <v>104</v>
      </c>
      <c r="J68" s="1">
        <v>6.4399999999999999E-2</v>
      </c>
      <c r="L68" s="20" t="s">
        <v>28</v>
      </c>
      <c r="M68" s="46" t="str">
        <f t="shared" ref="M68:M78" si="128">M52</f>
        <v/>
      </c>
      <c r="N68" s="46">
        <f>VLOOKUP(_xlfn.CONCAT(L68,$M$65),'data S&amp;P500'!$AY$2:$BH$73,6,0)</f>
        <v>3420</v>
      </c>
      <c r="O68" s="46" t="e">
        <f t="shared" ref="O68:O78" si="129">M68/N68</f>
        <v>#VALUE!</v>
      </c>
      <c r="P68" s="48">
        <f>VLOOKUP(_xlfn.CONCAT(L68,M65),'data S&amp;P500'!$A$2:$J$73,6,0)</f>
        <v>323.35000000000002</v>
      </c>
      <c r="Q68" s="20">
        <f>Q67</f>
        <v>373.88</v>
      </c>
      <c r="R68" s="47">
        <f t="shared" si="124"/>
        <v>0.13515031560928634</v>
      </c>
      <c r="S68" s="46" t="e">
        <f t="shared" ref="S68:S78" si="130">O68*(1+R68)</f>
        <v>#VALUE!</v>
      </c>
      <c r="T68" s="46">
        <f>T67</f>
        <v>3414.5</v>
      </c>
      <c r="U68" s="46" t="e">
        <f t="shared" ref="U68:U78" si="131">T68*S68</f>
        <v>#VALUE!</v>
      </c>
      <c r="V68" s="46" t="e">
        <f t="shared" ref="V68:V78" si="132">U68-M68</f>
        <v>#VALUE!</v>
      </c>
      <c r="W68" s="47" t="e">
        <f t="shared" ref="W68:W78" si="133">V68/M68</f>
        <v>#VALUE!</v>
      </c>
      <c r="X68" s="20"/>
      <c r="Y68" s="20" t="s">
        <v>28</v>
      </c>
      <c r="Z68" s="49" t="e">
        <f t="shared" ref="Z68:Z78" si="134">Z52</f>
        <v>#VALUE!</v>
      </c>
      <c r="AA68" s="46">
        <f t="shared" ref="AA68:AA78" si="135">N68</f>
        <v>3420</v>
      </c>
      <c r="AB68" s="46" t="e">
        <f t="shared" ref="AB68:AB78" si="136">Z68/AA68</f>
        <v>#VALUE!</v>
      </c>
      <c r="AC68" s="48">
        <f t="shared" ref="AC68:AC78" si="137">P68</f>
        <v>323.35000000000002</v>
      </c>
      <c r="AD68" s="48">
        <f t="shared" ref="AD68:AD78" si="138">Q68</f>
        <v>373.88</v>
      </c>
      <c r="AE68" s="47">
        <f t="shared" si="125"/>
        <v>0.13515031560928634</v>
      </c>
      <c r="AF68" s="46" t="e">
        <f t="shared" ref="AF68:AF78" si="139">AB68*(1+AE68)</f>
        <v>#VALUE!</v>
      </c>
      <c r="AG68" s="46">
        <f>AG67</f>
        <v>3414.5</v>
      </c>
      <c r="AH68" s="46" t="e">
        <f t="shared" ref="AH68:AH78" si="140">AG68*AF68</f>
        <v>#VALUE!</v>
      </c>
      <c r="AI68" s="46" t="e">
        <f t="shared" ref="AI68:AI78" si="141">AH68-Z68</f>
        <v>#VALUE!</v>
      </c>
      <c r="AJ68" s="47" t="e">
        <f t="shared" ref="AJ68:AJ78" si="142">AI68/Z68</f>
        <v>#VALUE!</v>
      </c>
      <c r="AL68" s="20" t="s">
        <v>28</v>
      </c>
      <c r="AM68" s="49">
        <f t="shared" ref="AM68:AM78" si="143">AM52</f>
        <v>0</v>
      </c>
      <c r="AN68" s="46">
        <f t="shared" ref="AN68:AN78" si="144">AA68</f>
        <v>3420</v>
      </c>
      <c r="AO68" s="46">
        <f t="shared" ref="AO68:AO78" si="145">AM68/AN68</f>
        <v>0</v>
      </c>
      <c r="AP68" s="48">
        <f t="shared" ref="AP68:AP78" si="146">AC68</f>
        <v>323.35000000000002</v>
      </c>
      <c r="AQ68" s="48">
        <f t="shared" ref="AQ68:AQ78" si="147">AD68</f>
        <v>373.88</v>
      </c>
      <c r="AR68" s="47">
        <f t="shared" si="126"/>
        <v>0.13515031560928634</v>
      </c>
      <c r="AS68" s="46">
        <f t="shared" ref="AS68:AS78" si="148">AO68*(1+AR68)</f>
        <v>0</v>
      </c>
      <c r="AT68" s="46">
        <f>AT67</f>
        <v>3414.5</v>
      </c>
      <c r="AU68" s="46">
        <f t="shared" ref="AU68:AU78" si="149">AT68*AS68</f>
        <v>0</v>
      </c>
      <c r="AV68" s="46">
        <f t="shared" ref="AV68:AV78" si="150">AU68-AM68</f>
        <v>0</v>
      </c>
      <c r="AW68" s="47" t="e">
        <f t="shared" ref="AW68:AW78" si="151">AV68/AM68</f>
        <v>#DIV/0!</v>
      </c>
      <c r="AY68" s="1" t="str">
        <f t="shared" si="127"/>
        <v>junio2019</v>
      </c>
      <c r="AZ68" s="1" t="s">
        <v>71</v>
      </c>
      <c r="BA68" s="1">
        <v>2019</v>
      </c>
      <c r="BB68" s="59">
        <v>43471</v>
      </c>
      <c r="BC68" s="60">
        <v>3211</v>
      </c>
      <c r="BD68" s="60">
        <v>3380</v>
      </c>
      <c r="BE68" s="60">
        <v>3382.35</v>
      </c>
      <c r="BF68" s="60">
        <v>3169.64</v>
      </c>
      <c r="BH68" s="61">
        <v>-4.8599999999999997E-2</v>
      </c>
    </row>
    <row r="69" spans="1:60" x14ac:dyDescent="0.25">
      <c r="A69" s="1" t="str">
        <f t="shared" si="123"/>
        <v>mayo2019</v>
      </c>
      <c r="B69" s="1" t="s">
        <v>73</v>
      </c>
      <c r="C69" s="1">
        <v>2019</v>
      </c>
      <c r="D69" s="62">
        <v>43470</v>
      </c>
      <c r="E69" s="1">
        <v>275.27</v>
      </c>
      <c r="F69" s="1">
        <v>294.72000000000003</v>
      </c>
      <c r="G69" s="1">
        <v>294.95</v>
      </c>
      <c r="H69" s="1">
        <v>275.24</v>
      </c>
      <c r="I69" s="1" t="s">
        <v>127</v>
      </c>
      <c r="J69" s="1">
        <v>-6.3799999999999996E-2</v>
      </c>
      <c r="L69" s="20" t="s">
        <v>29</v>
      </c>
      <c r="M69" s="46" t="str">
        <f t="shared" si="128"/>
        <v/>
      </c>
      <c r="N69" s="46">
        <f>VLOOKUP(_xlfn.CONCAT(L69,$M$65),'data S&amp;P500'!$AY$2:$BH$73,6,0)</f>
        <v>3527</v>
      </c>
      <c r="O69" s="46" t="e">
        <f t="shared" si="129"/>
        <v>#VALUE!</v>
      </c>
      <c r="P69" s="48">
        <f>VLOOKUP(_xlfn.CONCAT(L69,M65),'data S&amp;P500'!$A$2:$J$73,6,0)</f>
        <v>298.20999999999998</v>
      </c>
      <c r="Q69" s="20">
        <f t="shared" ref="Q69:Q78" si="152">Q68</f>
        <v>373.88</v>
      </c>
      <c r="R69" s="47">
        <f t="shared" si="124"/>
        <v>0.20239114154274104</v>
      </c>
      <c r="S69" s="46" t="e">
        <f t="shared" si="130"/>
        <v>#VALUE!</v>
      </c>
      <c r="T69" s="46">
        <f t="shared" ref="T69:T78" si="153">T68</f>
        <v>3414.5</v>
      </c>
      <c r="U69" s="46" t="e">
        <f t="shared" si="131"/>
        <v>#VALUE!</v>
      </c>
      <c r="V69" s="46" t="e">
        <f t="shared" si="132"/>
        <v>#VALUE!</v>
      </c>
      <c r="W69" s="47" t="e">
        <f t="shared" si="133"/>
        <v>#VALUE!</v>
      </c>
      <c r="X69" s="20"/>
      <c r="Y69" s="20" t="s">
        <v>29</v>
      </c>
      <c r="Z69" s="49" t="e">
        <f t="shared" si="134"/>
        <v>#VALUE!</v>
      </c>
      <c r="AA69" s="46">
        <f t="shared" si="135"/>
        <v>3527</v>
      </c>
      <c r="AB69" s="46" t="e">
        <f t="shared" si="136"/>
        <v>#VALUE!</v>
      </c>
      <c r="AC69" s="48">
        <f t="shared" si="137"/>
        <v>298.20999999999998</v>
      </c>
      <c r="AD69" s="48">
        <f t="shared" si="138"/>
        <v>373.88</v>
      </c>
      <c r="AE69" s="47">
        <f t="shared" si="125"/>
        <v>0.20239114154274104</v>
      </c>
      <c r="AF69" s="46" t="e">
        <f t="shared" si="139"/>
        <v>#VALUE!</v>
      </c>
      <c r="AG69" s="46">
        <f t="shared" ref="AG69:AG78" si="154">AG68</f>
        <v>3414.5</v>
      </c>
      <c r="AH69" s="46" t="e">
        <f t="shared" si="140"/>
        <v>#VALUE!</v>
      </c>
      <c r="AI69" s="46" t="e">
        <f t="shared" si="141"/>
        <v>#VALUE!</v>
      </c>
      <c r="AJ69" s="47" t="e">
        <f t="shared" si="142"/>
        <v>#VALUE!</v>
      </c>
      <c r="AL69" s="20" t="s">
        <v>29</v>
      </c>
      <c r="AM69" s="49">
        <f t="shared" si="143"/>
        <v>0</v>
      </c>
      <c r="AN69" s="46">
        <f t="shared" si="144"/>
        <v>3527</v>
      </c>
      <c r="AO69" s="46">
        <f t="shared" si="145"/>
        <v>0</v>
      </c>
      <c r="AP69" s="48">
        <f t="shared" si="146"/>
        <v>298.20999999999998</v>
      </c>
      <c r="AQ69" s="48">
        <f t="shared" si="147"/>
        <v>373.88</v>
      </c>
      <c r="AR69" s="47">
        <f t="shared" si="126"/>
        <v>0.20239114154274104</v>
      </c>
      <c r="AS69" s="46">
        <f t="shared" si="148"/>
        <v>0</v>
      </c>
      <c r="AT69" s="46">
        <f t="shared" ref="AT69:AT78" si="155">AT68</f>
        <v>3414.5</v>
      </c>
      <c r="AU69" s="46">
        <f t="shared" si="149"/>
        <v>0</v>
      </c>
      <c r="AV69" s="46">
        <f t="shared" si="150"/>
        <v>0</v>
      </c>
      <c r="AW69" s="47" t="e">
        <f t="shared" si="151"/>
        <v>#DIV/0!</v>
      </c>
      <c r="AY69" s="1" t="str">
        <f t="shared" si="127"/>
        <v>mayo2019</v>
      </c>
      <c r="AZ69" s="1" t="s">
        <v>73</v>
      </c>
      <c r="BA69" s="1">
        <v>2019</v>
      </c>
      <c r="BB69" s="59">
        <v>43470</v>
      </c>
      <c r="BC69" s="60">
        <v>3375</v>
      </c>
      <c r="BD69" s="60">
        <v>3233.25</v>
      </c>
      <c r="BE69" s="60">
        <v>3394.83</v>
      </c>
      <c r="BF69" s="60">
        <v>3225.75</v>
      </c>
      <c r="BH69" s="61">
        <v>4.4499999999999998E-2</v>
      </c>
    </row>
    <row r="70" spans="1:60" x14ac:dyDescent="0.25">
      <c r="A70" s="1" t="str">
        <f t="shared" si="123"/>
        <v>abril2019</v>
      </c>
      <c r="B70" s="1" t="s">
        <v>75</v>
      </c>
      <c r="C70" s="1">
        <v>2019</v>
      </c>
      <c r="D70" s="62">
        <v>43469</v>
      </c>
      <c r="E70" s="1">
        <v>294.02</v>
      </c>
      <c r="F70" s="1">
        <v>284.7</v>
      </c>
      <c r="G70" s="1">
        <v>294.45</v>
      </c>
      <c r="H70" s="1">
        <v>284.39999999999998</v>
      </c>
      <c r="I70" s="1" t="s">
        <v>128</v>
      </c>
      <c r="J70" s="1">
        <v>4.0899999999999999E-2</v>
      </c>
      <c r="L70" s="20" t="s">
        <v>30</v>
      </c>
      <c r="M70" s="46" t="str">
        <f t="shared" si="128"/>
        <v/>
      </c>
      <c r="N70" s="46">
        <f>VLOOKUP(_xlfn.CONCAT(L70,$M$65),'data S&amp;P500'!$AY$2:$BH$73,6,0)</f>
        <v>4059</v>
      </c>
      <c r="O70" s="46" t="e">
        <f t="shared" si="129"/>
        <v>#VALUE!</v>
      </c>
      <c r="P70" s="48">
        <f>VLOOKUP(_xlfn.CONCAT(L70,M65),'data S&amp;P500'!$A$2:$J$73,6,0)</f>
        <v>247.98</v>
      </c>
      <c r="Q70" s="20">
        <f t="shared" si="152"/>
        <v>373.88</v>
      </c>
      <c r="R70" s="47">
        <f t="shared" si="124"/>
        <v>0.33673906066117471</v>
      </c>
      <c r="S70" s="46" t="e">
        <f t="shared" si="130"/>
        <v>#VALUE!</v>
      </c>
      <c r="T70" s="46">
        <f t="shared" si="153"/>
        <v>3414.5</v>
      </c>
      <c r="U70" s="46" t="e">
        <f t="shared" si="131"/>
        <v>#VALUE!</v>
      </c>
      <c r="V70" s="46" t="e">
        <f t="shared" si="132"/>
        <v>#VALUE!</v>
      </c>
      <c r="W70" s="47" t="e">
        <f t="shared" si="133"/>
        <v>#VALUE!</v>
      </c>
      <c r="X70" s="20"/>
      <c r="Y70" s="20" t="s">
        <v>30</v>
      </c>
      <c r="Z70" s="49" t="e">
        <f t="shared" si="134"/>
        <v>#VALUE!</v>
      </c>
      <c r="AA70" s="46">
        <f t="shared" si="135"/>
        <v>4059</v>
      </c>
      <c r="AB70" s="46" t="e">
        <f t="shared" si="136"/>
        <v>#VALUE!</v>
      </c>
      <c r="AC70" s="48">
        <f t="shared" si="137"/>
        <v>247.98</v>
      </c>
      <c r="AD70" s="48">
        <f t="shared" si="138"/>
        <v>373.88</v>
      </c>
      <c r="AE70" s="47">
        <f t="shared" si="125"/>
        <v>0.33673906066117471</v>
      </c>
      <c r="AF70" s="46" t="e">
        <f t="shared" si="139"/>
        <v>#VALUE!</v>
      </c>
      <c r="AG70" s="46">
        <f t="shared" si="154"/>
        <v>3414.5</v>
      </c>
      <c r="AH70" s="46" t="e">
        <f t="shared" si="140"/>
        <v>#VALUE!</v>
      </c>
      <c r="AI70" s="46" t="e">
        <f t="shared" si="141"/>
        <v>#VALUE!</v>
      </c>
      <c r="AJ70" s="47" t="e">
        <f t="shared" si="142"/>
        <v>#VALUE!</v>
      </c>
      <c r="AL70" s="20" t="s">
        <v>30</v>
      </c>
      <c r="AM70" s="49">
        <f t="shared" si="143"/>
        <v>0</v>
      </c>
      <c r="AN70" s="46">
        <f t="shared" si="144"/>
        <v>4059</v>
      </c>
      <c r="AO70" s="46">
        <f t="shared" si="145"/>
        <v>0</v>
      </c>
      <c r="AP70" s="48">
        <f t="shared" si="146"/>
        <v>247.98</v>
      </c>
      <c r="AQ70" s="48">
        <f t="shared" si="147"/>
        <v>373.88</v>
      </c>
      <c r="AR70" s="47">
        <f t="shared" si="126"/>
        <v>0.33673906066117471</v>
      </c>
      <c r="AS70" s="46">
        <f t="shared" si="148"/>
        <v>0</v>
      </c>
      <c r="AT70" s="46">
        <f t="shared" si="155"/>
        <v>3414.5</v>
      </c>
      <c r="AU70" s="46">
        <f t="shared" si="149"/>
        <v>0</v>
      </c>
      <c r="AV70" s="46">
        <f t="shared" si="150"/>
        <v>0</v>
      </c>
      <c r="AW70" s="47" t="e">
        <f t="shared" si="151"/>
        <v>#DIV/0!</v>
      </c>
      <c r="AY70" s="1" t="str">
        <f t="shared" si="127"/>
        <v>abril2019</v>
      </c>
      <c r="AZ70" s="1" t="s">
        <v>75</v>
      </c>
      <c r="BA70" s="1">
        <v>2019</v>
      </c>
      <c r="BB70" s="59">
        <v>43469</v>
      </c>
      <c r="BC70" s="60">
        <v>3231.25</v>
      </c>
      <c r="BD70" s="60">
        <v>3188.03</v>
      </c>
      <c r="BE70" s="60">
        <v>3253.51</v>
      </c>
      <c r="BF70" s="60">
        <v>3092.69</v>
      </c>
      <c r="BH70" s="61">
        <v>1.4200000000000001E-2</v>
      </c>
    </row>
    <row r="71" spans="1:60" x14ac:dyDescent="0.25">
      <c r="A71" s="1" t="str">
        <f t="shared" si="123"/>
        <v>marzo2019</v>
      </c>
      <c r="B71" s="1" t="s">
        <v>77</v>
      </c>
      <c r="C71" s="1">
        <v>2019</v>
      </c>
      <c r="D71" s="62">
        <v>43468</v>
      </c>
      <c r="E71" s="1">
        <v>282.48</v>
      </c>
      <c r="F71" s="1">
        <v>280.44</v>
      </c>
      <c r="G71" s="1">
        <v>285.18</v>
      </c>
      <c r="H71" s="1">
        <v>272.42</v>
      </c>
      <c r="I71" s="1" t="s">
        <v>129</v>
      </c>
      <c r="J71" s="1">
        <v>1.3599999999999999E-2</v>
      </c>
      <c r="L71" s="20" t="s">
        <v>31</v>
      </c>
      <c r="M71" s="46" t="str">
        <f t="shared" si="128"/>
        <v/>
      </c>
      <c r="N71" s="46">
        <f>VLOOKUP(_xlfn.CONCAT(L71,$M$65),'data S&amp;P500'!$AY$2:$BH$73,6,0)</f>
        <v>3954.5</v>
      </c>
      <c r="O71" s="46" t="e">
        <f t="shared" si="129"/>
        <v>#VALUE!</v>
      </c>
      <c r="P71" s="48">
        <f>VLOOKUP(_xlfn.CONCAT(L71,M65),'data S&amp;P500'!$A$2:$J$73,6,0)</f>
        <v>285.31</v>
      </c>
      <c r="Q71" s="20">
        <f t="shared" si="152"/>
        <v>373.88</v>
      </c>
      <c r="R71" s="47">
        <f t="shared" si="124"/>
        <v>0.2368941906494062</v>
      </c>
      <c r="S71" s="46" t="e">
        <f t="shared" si="130"/>
        <v>#VALUE!</v>
      </c>
      <c r="T71" s="46">
        <f t="shared" si="153"/>
        <v>3414.5</v>
      </c>
      <c r="U71" s="46" t="e">
        <f t="shared" si="131"/>
        <v>#VALUE!</v>
      </c>
      <c r="V71" s="46" t="e">
        <f t="shared" si="132"/>
        <v>#VALUE!</v>
      </c>
      <c r="W71" s="47" t="e">
        <f t="shared" si="133"/>
        <v>#VALUE!</v>
      </c>
      <c r="X71" s="20"/>
      <c r="Y71" s="20" t="s">
        <v>31</v>
      </c>
      <c r="Z71" s="49" t="e">
        <f t="shared" si="134"/>
        <v>#VALUE!</v>
      </c>
      <c r="AA71" s="46">
        <f t="shared" si="135"/>
        <v>3954.5</v>
      </c>
      <c r="AB71" s="46" t="e">
        <f t="shared" si="136"/>
        <v>#VALUE!</v>
      </c>
      <c r="AC71" s="48">
        <f t="shared" si="137"/>
        <v>285.31</v>
      </c>
      <c r="AD71" s="48">
        <f t="shared" si="138"/>
        <v>373.88</v>
      </c>
      <c r="AE71" s="47">
        <f t="shared" si="125"/>
        <v>0.2368941906494062</v>
      </c>
      <c r="AF71" s="46" t="e">
        <f t="shared" si="139"/>
        <v>#VALUE!</v>
      </c>
      <c r="AG71" s="46">
        <f t="shared" si="154"/>
        <v>3414.5</v>
      </c>
      <c r="AH71" s="46" t="e">
        <f t="shared" si="140"/>
        <v>#VALUE!</v>
      </c>
      <c r="AI71" s="46" t="e">
        <f t="shared" si="141"/>
        <v>#VALUE!</v>
      </c>
      <c r="AJ71" s="47" t="e">
        <f t="shared" si="142"/>
        <v>#VALUE!</v>
      </c>
      <c r="AL71" s="20" t="s">
        <v>31</v>
      </c>
      <c r="AM71" s="49">
        <f t="shared" si="143"/>
        <v>0</v>
      </c>
      <c r="AN71" s="46">
        <f t="shared" si="144"/>
        <v>3954.5</v>
      </c>
      <c r="AO71" s="46">
        <f t="shared" si="145"/>
        <v>0</v>
      </c>
      <c r="AP71" s="48">
        <f t="shared" si="146"/>
        <v>285.31</v>
      </c>
      <c r="AQ71" s="48">
        <f t="shared" si="147"/>
        <v>373.88</v>
      </c>
      <c r="AR71" s="47">
        <f t="shared" si="126"/>
        <v>0.2368941906494062</v>
      </c>
      <c r="AS71" s="46">
        <f t="shared" si="148"/>
        <v>0</v>
      </c>
      <c r="AT71" s="46">
        <f t="shared" si="155"/>
        <v>3414.5</v>
      </c>
      <c r="AU71" s="46">
        <f t="shared" si="149"/>
        <v>0</v>
      </c>
      <c r="AV71" s="46">
        <f t="shared" si="150"/>
        <v>0</v>
      </c>
      <c r="AW71" s="47" t="e">
        <f t="shared" si="151"/>
        <v>#DIV/0!</v>
      </c>
      <c r="AY71" s="1" t="str">
        <f t="shared" si="127"/>
        <v>marzo2019</v>
      </c>
      <c r="AZ71" s="1" t="s">
        <v>77</v>
      </c>
      <c r="BA71" s="1">
        <v>2019</v>
      </c>
      <c r="BB71" s="59">
        <v>43468</v>
      </c>
      <c r="BC71" s="60">
        <v>3186.03</v>
      </c>
      <c r="BD71" s="60">
        <v>3081.5</v>
      </c>
      <c r="BE71" s="60">
        <v>3207</v>
      </c>
      <c r="BF71" s="60">
        <v>3072</v>
      </c>
      <c r="BH71" s="61">
        <v>3.4299999999999997E-2</v>
      </c>
    </row>
    <row r="72" spans="1:60" x14ac:dyDescent="0.25">
      <c r="A72" s="1" t="str">
        <f t="shared" si="123"/>
        <v>febrero2019</v>
      </c>
      <c r="B72" s="1" t="s">
        <v>79</v>
      </c>
      <c r="C72" s="1">
        <v>2019</v>
      </c>
      <c r="D72" s="62">
        <v>43467</v>
      </c>
      <c r="E72" s="1">
        <v>278.68</v>
      </c>
      <c r="F72" s="1">
        <v>270.14999999999998</v>
      </c>
      <c r="G72" s="1">
        <v>281.31</v>
      </c>
      <c r="H72" s="1">
        <v>267.83</v>
      </c>
      <c r="I72" s="1" t="s">
        <v>87</v>
      </c>
      <c r="J72" s="1">
        <v>3.2399999999999998E-2</v>
      </c>
      <c r="L72" s="20" t="s">
        <v>32</v>
      </c>
      <c r="M72" s="46" t="str">
        <f t="shared" si="128"/>
        <v/>
      </c>
      <c r="N72" s="46">
        <f>VLOOKUP(_xlfn.CONCAT(L72,$M$65),'data S&amp;P500'!$AY$2:$BH$73,6,0)</f>
        <v>3730</v>
      </c>
      <c r="O72" s="46" t="e">
        <f t="shared" si="129"/>
        <v>#VALUE!</v>
      </c>
      <c r="P72" s="48">
        <f>VLOOKUP(_xlfn.CONCAT(L72,M65),'data S&amp;P500'!$A$2:$J$73,6,0)</f>
        <v>303.62</v>
      </c>
      <c r="Q72" s="20">
        <f t="shared" si="152"/>
        <v>373.88</v>
      </c>
      <c r="R72" s="47">
        <f t="shared" si="124"/>
        <v>0.18792125815769764</v>
      </c>
      <c r="S72" s="46" t="e">
        <f t="shared" si="130"/>
        <v>#VALUE!</v>
      </c>
      <c r="T72" s="46">
        <f t="shared" si="153"/>
        <v>3414.5</v>
      </c>
      <c r="U72" s="46" t="e">
        <f t="shared" si="131"/>
        <v>#VALUE!</v>
      </c>
      <c r="V72" s="46" t="e">
        <f t="shared" si="132"/>
        <v>#VALUE!</v>
      </c>
      <c r="W72" s="47" t="e">
        <f t="shared" si="133"/>
        <v>#VALUE!</v>
      </c>
      <c r="X72" s="20"/>
      <c r="Y72" s="20" t="s">
        <v>32</v>
      </c>
      <c r="Z72" s="49" t="e">
        <f t="shared" si="134"/>
        <v>#VALUE!</v>
      </c>
      <c r="AA72" s="46">
        <f t="shared" si="135"/>
        <v>3730</v>
      </c>
      <c r="AB72" s="46" t="e">
        <f t="shared" si="136"/>
        <v>#VALUE!</v>
      </c>
      <c r="AC72" s="48">
        <f t="shared" si="137"/>
        <v>303.62</v>
      </c>
      <c r="AD72" s="48">
        <f t="shared" si="138"/>
        <v>373.88</v>
      </c>
      <c r="AE72" s="47">
        <f t="shared" si="125"/>
        <v>0.18792125815769764</v>
      </c>
      <c r="AF72" s="46" t="e">
        <f t="shared" si="139"/>
        <v>#VALUE!</v>
      </c>
      <c r="AG72" s="46">
        <f t="shared" si="154"/>
        <v>3414.5</v>
      </c>
      <c r="AH72" s="46" t="e">
        <f t="shared" si="140"/>
        <v>#VALUE!</v>
      </c>
      <c r="AI72" s="46" t="e">
        <f t="shared" si="141"/>
        <v>#VALUE!</v>
      </c>
      <c r="AJ72" s="47" t="e">
        <f t="shared" si="142"/>
        <v>#VALUE!</v>
      </c>
      <c r="AL72" s="20" t="s">
        <v>32</v>
      </c>
      <c r="AM72" s="49">
        <f t="shared" si="143"/>
        <v>0</v>
      </c>
      <c r="AN72" s="46">
        <f t="shared" si="144"/>
        <v>3730</v>
      </c>
      <c r="AO72" s="46">
        <f t="shared" si="145"/>
        <v>0</v>
      </c>
      <c r="AP72" s="48">
        <f t="shared" si="146"/>
        <v>303.62</v>
      </c>
      <c r="AQ72" s="48">
        <f t="shared" si="147"/>
        <v>373.88</v>
      </c>
      <c r="AR72" s="47">
        <f t="shared" si="126"/>
        <v>0.18792125815769764</v>
      </c>
      <c r="AS72" s="46">
        <f t="shared" si="148"/>
        <v>0</v>
      </c>
      <c r="AT72" s="46">
        <f t="shared" si="155"/>
        <v>3414.5</v>
      </c>
      <c r="AU72" s="46">
        <f t="shared" si="149"/>
        <v>0</v>
      </c>
      <c r="AV72" s="46">
        <f t="shared" si="150"/>
        <v>0</v>
      </c>
      <c r="AW72" s="47" t="e">
        <f t="shared" si="151"/>
        <v>#DIV/0!</v>
      </c>
      <c r="AY72" s="1" t="str">
        <f t="shared" si="127"/>
        <v>febrero2019</v>
      </c>
      <c r="AZ72" s="1" t="s">
        <v>79</v>
      </c>
      <c r="BA72" s="1">
        <v>2019</v>
      </c>
      <c r="BB72" s="59">
        <v>43467</v>
      </c>
      <c r="BC72" s="60">
        <v>3080.25</v>
      </c>
      <c r="BD72" s="60">
        <v>3105</v>
      </c>
      <c r="BE72" s="60">
        <v>3164.45</v>
      </c>
      <c r="BF72" s="60">
        <v>3065.65</v>
      </c>
      <c r="BH72" s="61">
        <v>-7.4000000000000003E-3</v>
      </c>
    </row>
    <row r="73" spans="1:60" x14ac:dyDescent="0.25">
      <c r="A73" s="1" t="str">
        <f t="shared" si="123"/>
        <v>enero2019</v>
      </c>
      <c r="B73" s="1" t="s">
        <v>81</v>
      </c>
      <c r="C73" s="1">
        <v>2019</v>
      </c>
      <c r="D73" s="62">
        <v>43466</v>
      </c>
      <c r="E73" s="1">
        <v>269.93</v>
      </c>
      <c r="F73" s="1">
        <v>245.98</v>
      </c>
      <c r="G73" s="1">
        <v>270.47000000000003</v>
      </c>
      <c r="H73" s="1">
        <v>243.67</v>
      </c>
      <c r="I73" s="1" t="s">
        <v>130</v>
      </c>
      <c r="J73" s="1">
        <v>8.0100000000000005E-2</v>
      </c>
      <c r="L73" s="20" t="s">
        <v>33</v>
      </c>
      <c r="M73" s="46" t="str">
        <f t="shared" si="128"/>
        <v/>
      </c>
      <c r="N73" s="46">
        <f>VLOOKUP(_xlfn.CONCAT(L73,$M$65),'data S&amp;P500'!$AY$2:$BH$73,6,0)</f>
        <v>3758</v>
      </c>
      <c r="O73" s="46" t="e">
        <f t="shared" si="129"/>
        <v>#VALUE!</v>
      </c>
      <c r="P73" s="48">
        <f>VLOOKUP(_xlfn.CONCAT(L73,M65),'data S&amp;P500'!$A$2:$J$73,6,0)</f>
        <v>309.57</v>
      </c>
      <c r="Q73" s="20">
        <f t="shared" si="152"/>
        <v>373.88</v>
      </c>
      <c r="R73" s="47">
        <f t="shared" si="124"/>
        <v>0.17200706108911951</v>
      </c>
      <c r="S73" s="46" t="e">
        <f t="shared" si="130"/>
        <v>#VALUE!</v>
      </c>
      <c r="T73" s="46">
        <f t="shared" si="153"/>
        <v>3414.5</v>
      </c>
      <c r="U73" s="46" t="e">
        <f t="shared" si="131"/>
        <v>#VALUE!</v>
      </c>
      <c r="V73" s="46" t="e">
        <f t="shared" si="132"/>
        <v>#VALUE!</v>
      </c>
      <c r="W73" s="47" t="e">
        <f t="shared" si="133"/>
        <v>#VALUE!</v>
      </c>
      <c r="X73" s="20"/>
      <c r="Y73" s="20" t="s">
        <v>33</v>
      </c>
      <c r="Z73" s="49" t="e">
        <f t="shared" si="134"/>
        <v>#VALUE!</v>
      </c>
      <c r="AA73" s="46">
        <f t="shared" si="135"/>
        <v>3758</v>
      </c>
      <c r="AB73" s="46" t="e">
        <f t="shared" si="136"/>
        <v>#VALUE!</v>
      </c>
      <c r="AC73" s="48">
        <f t="shared" si="137"/>
        <v>309.57</v>
      </c>
      <c r="AD73" s="48">
        <f t="shared" si="138"/>
        <v>373.88</v>
      </c>
      <c r="AE73" s="47">
        <f t="shared" si="125"/>
        <v>0.17200706108911951</v>
      </c>
      <c r="AF73" s="46" t="e">
        <f t="shared" si="139"/>
        <v>#VALUE!</v>
      </c>
      <c r="AG73" s="46">
        <f t="shared" si="154"/>
        <v>3414.5</v>
      </c>
      <c r="AH73" s="46" t="e">
        <f t="shared" si="140"/>
        <v>#VALUE!</v>
      </c>
      <c r="AI73" s="46" t="e">
        <f t="shared" si="141"/>
        <v>#VALUE!</v>
      </c>
      <c r="AJ73" s="47" t="e">
        <f t="shared" si="142"/>
        <v>#VALUE!</v>
      </c>
      <c r="AL73" s="20" t="s">
        <v>33</v>
      </c>
      <c r="AM73" s="49">
        <f t="shared" si="143"/>
        <v>0</v>
      </c>
      <c r="AN73" s="46">
        <f t="shared" si="144"/>
        <v>3758</v>
      </c>
      <c r="AO73" s="46">
        <f t="shared" si="145"/>
        <v>0</v>
      </c>
      <c r="AP73" s="48">
        <f t="shared" si="146"/>
        <v>309.57</v>
      </c>
      <c r="AQ73" s="48">
        <f t="shared" si="147"/>
        <v>373.88</v>
      </c>
      <c r="AR73" s="47">
        <f t="shared" si="126"/>
        <v>0.17200706108911951</v>
      </c>
      <c r="AS73" s="46">
        <f t="shared" si="148"/>
        <v>0</v>
      </c>
      <c r="AT73" s="46">
        <f t="shared" si="155"/>
        <v>3414.5</v>
      </c>
      <c r="AU73" s="46">
        <f t="shared" si="149"/>
        <v>0</v>
      </c>
      <c r="AV73" s="46">
        <f t="shared" si="150"/>
        <v>0</v>
      </c>
      <c r="AW73" s="47" t="e">
        <f t="shared" si="151"/>
        <v>#DIV/0!</v>
      </c>
      <c r="AY73" s="1" t="str">
        <f t="shared" si="127"/>
        <v>enero2019</v>
      </c>
      <c r="AZ73" s="1" t="s">
        <v>81</v>
      </c>
      <c r="BA73" s="1">
        <v>2019</v>
      </c>
      <c r="BB73" s="59">
        <v>43466</v>
      </c>
      <c r="BC73" s="60">
        <v>3103.25</v>
      </c>
      <c r="BD73" s="60">
        <v>3247.5</v>
      </c>
      <c r="BE73" s="60">
        <v>3264.99</v>
      </c>
      <c r="BF73" s="60">
        <v>3102.49</v>
      </c>
      <c r="BH73" s="61">
        <v>-4.3700000000000003E-2</v>
      </c>
    </row>
    <row r="74" spans="1:60" x14ac:dyDescent="0.25">
      <c r="L74" s="20" t="s">
        <v>34</v>
      </c>
      <c r="M74" s="46" t="str">
        <f t="shared" si="128"/>
        <v/>
      </c>
      <c r="N74" s="46">
        <f>VLOOKUP(_xlfn.CONCAT(L74,$M$65),'data S&amp;P500'!$AY$2:$BH$73,6,0)</f>
        <v>3733.33</v>
      </c>
      <c r="O74" s="46" t="e">
        <f t="shared" si="129"/>
        <v>#VALUE!</v>
      </c>
      <c r="P74" s="48">
        <f>VLOOKUP(_xlfn.CONCAT(L74,M65),'data S&amp;P500'!$A$2:$J$73,6,0)</f>
        <v>328.32</v>
      </c>
      <c r="Q74" s="20">
        <f t="shared" si="152"/>
        <v>373.88</v>
      </c>
      <c r="R74" s="47">
        <f t="shared" si="124"/>
        <v>0.12185728041082701</v>
      </c>
      <c r="S74" s="46" t="e">
        <f t="shared" si="130"/>
        <v>#VALUE!</v>
      </c>
      <c r="T74" s="46">
        <f t="shared" si="153"/>
        <v>3414.5</v>
      </c>
      <c r="U74" s="46" t="e">
        <f t="shared" si="131"/>
        <v>#VALUE!</v>
      </c>
      <c r="V74" s="46" t="e">
        <f t="shared" si="132"/>
        <v>#VALUE!</v>
      </c>
      <c r="W74" s="47" t="e">
        <f t="shared" si="133"/>
        <v>#VALUE!</v>
      </c>
      <c r="X74" s="20"/>
      <c r="Y74" s="20" t="s">
        <v>34</v>
      </c>
      <c r="Z74" s="49" t="e">
        <f t="shared" si="134"/>
        <v>#VALUE!</v>
      </c>
      <c r="AA74" s="46">
        <f t="shared" si="135"/>
        <v>3733.33</v>
      </c>
      <c r="AB74" s="46" t="e">
        <f t="shared" si="136"/>
        <v>#VALUE!</v>
      </c>
      <c r="AC74" s="48">
        <f t="shared" si="137"/>
        <v>328.32</v>
      </c>
      <c r="AD74" s="48">
        <f t="shared" si="138"/>
        <v>373.88</v>
      </c>
      <c r="AE74" s="47">
        <f t="shared" si="125"/>
        <v>0.12185728041082701</v>
      </c>
      <c r="AF74" s="46" t="e">
        <f t="shared" si="139"/>
        <v>#VALUE!</v>
      </c>
      <c r="AG74" s="46">
        <f t="shared" si="154"/>
        <v>3414.5</v>
      </c>
      <c r="AH74" s="46" t="e">
        <f t="shared" si="140"/>
        <v>#VALUE!</v>
      </c>
      <c r="AI74" s="46" t="e">
        <f t="shared" si="141"/>
        <v>#VALUE!</v>
      </c>
      <c r="AJ74" s="47" t="e">
        <f t="shared" si="142"/>
        <v>#VALUE!</v>
      </c>
      <c r="AL74" s="20" t="s">
        <v>34</v>
      </c>
      <c r="AM74" s="49">
        <f t="shared" si="143"/>
        <v>0</v>
      </c>
      <c r="AN74" s="46">
        <f t="shared" si="144"/>
        <v>3733.33</v>
      </c>
      <c r="AO74" s="46">
        <f t="shared" si="145"/>
        <v>0</v>
      </c>
      <c r="AP74" s="48">
        <f t="shared" si="146"/>
        <v>328.32</v>
      </c>
      <c r="AQ74" s="48">
        <f t="shared" si="147"/>
        <v>373.88</v>
      </c>
      <c r="AR74" s="47">
        <f t="shared" si="126"/>
        <v>0.12185728041082701</v>
      </c>
      <c r="AS74" s="46">
        <f t="shared" si="148"/>
        <v>0</v>
      </c>
      <c r="AT74" s="46">
        <f t="shared" si="155"/>
        <v>3414.5</v>
      </c>
      <c r="AU74" s="46">
        <f t="shared" si="149"/>
        <v>0</v>
      </c>
      <c r="AV74" s="46">
        <f t="shared" si="150"/>
        <v>0</v>
      </c>
      <c r="AW74" s="47" t="e">
        <f t="shared" si="151"/>
        <v>#DIV/0!</v>
      </c>
    </row>
    <row r="75" spans="1:60" x14ac:dyDescent="0.25">
      <c r="L75" s="20" t="s">
        <v>35</v>
      </c>
      <c r="M75" s="46" t="str">
        <f t="shared" si="128"/>
        <v/>
      </c>
      <c r="N75" s="46">
        <f>VLOOKUP(_xlfn.CONCAT(L75,$M$65),'data S&amp;P500'!$AY$2:$BH$73,6,0)</f>
        <v>3740.45</v>
      </c>
      <c r="O75" s="46" t="e">
        <f t="shared" si="129"/>
        <v>#VALUE!</v>
      </c>
      <c r="P75" s="48">
        <f>VLOOKUP(_xlfn.CONCAT(L75,M65),'data S&amp;P500'!$A$2:$J$73,6,0)</f>
        <v>350.21</v>
      </c>
      <c r="Q75" s="20">
        <f t="shared" si="152"/>
        <v>373.88</v>
      </c>
      <c r="R75" s="47">
        <f t="shared" si="124"/>
        <v>6.3309083128276489E-2</v>
      </c>
      <c r="S75" s="46" t="e">
        <f t="shared" si="130"/>
        <v>#VALUE!</v>
      </c>
      <c r="T75" s="46">
        <f t="shared" si="153"/>
        <v>3414.5</v>
      </c>
      <c r="U75" s="46" t="e">
        <f t="shared" si="131"/>
        <v>#VALUE!</v>
      </c>
      <c r="V75" s="46" t="e">
        <f t="shared" si="132"/>
        <v>#VALUE!</v>
      </c>
      <c r="W75" s="47" t="e">
        <f t="shared" si="133"/>
        <v>#VALUE!</v>
      </c>
      <c r="X75" s="20"/>
      <c r="Y75" s="20" t="s">
        <v>35</v>
      </c>
      <c r="Z75" s="49" t="e">
        <f t="shared" si="134"/>
        <v>#VALUE!</v>
      </c>
      <c r="AA75" s="46">
        <f t="shared" si="135"/>
        <v>3740.45</v>
      </c>
      <c r="AB75" s="46" t="e">
        <f t="shared" si="136"/>
        <v>#VALUE!</v>
      </c>
      <c r="AC75" s="48">
        <f t="shared" si="137"/>
        <v>350.21</v>
      </c>
      <c r="AD75" s="48">
        <f t="shared" si="138"/>
        <v>373.88</v>
      </c>
      <c r="AE75" s="47">
        <f t="shared" si="125"/>
        <v>6.3309083128276489E-2</v>
      </c>
      <c r="AF75" s="46" t="e">
        <f t="shared" si="139"/>
        <v>#VALUE!</v>
      </c>
      <c r="AG75" s="46">
        <f t="shared" si="154"/>
        <v>3414.5</v>
      </c>
      <c r="AH75" s="46" t="e">
        <f t="shared" si="140"/>
        <v>#VALUE!</v>
      </c>
      <c r="AI75" s="46" t="e">
        <f t="shared" si="141"/>
        <v>#VALUE!</v>
      </c>
      <c r="AJ75" s="47" t="e">
        <f t="shared" si="142"/>
        <v>#VALUE!</v>
      </c>
      <c r="AL75" s="20" t="s">
        <v>35</v>
      </c>
      <c r="AM75" s="49">
        <f t="shared" si="143"/>
        <v>0</v>
      </c>
      <c r="AN75" s="46">
        <f t="shared" si="144"/>
        <v>3740.45</v>
      </c>
      <c r="AO75" s="46">
        <f t="shared" si="145"/>
        <v>0</v>
      </c>
      <c r="AP75" s="48">
        <f t="shared" si="146"/>
        <v>350.21</v>
      </c>
      <c r="AQ75" s="48">
        <f t="shared" si="147"/>
        <v>373.88</v>
      </c>
      <c r="AR75" s="47">
        <f t="shared" si="126"/>
        <v>6.3309083128276489E-2</v>
      </c>
      <c r="AS75" s="46">
        <f t="shared" si="148"/>
        <v>0</v>
      </c>
      <c r="AT75" s="46">
        <f t="shared" si="155"/>
        <v>3414.5</v>
      </c>
      <c r="AU75" s="46">
        <f t="shared" si="149"/>
        <v>0</v>
      </c>
      <c r="AV75" s="46">
        <f t="shared" si="150"/>
        <v>0</v>
      </c>
      <c r="AW75" s="47" t="e">
        <f t="shared" si="151"/>
        <v>#DIV/0!</v>
      </c>
    </row>
    <row r="76" spans="1:60" x14ac:dyDescent="0.25">
      <c r="L76" s="20" t="s">
        <v>36</v>
      </c>
      <c r="M76" s="46" t="str">
        <f t="shared" si="128"/>
        <v/>
      </c>
      <c r="N76" s="46">
        <f>VLOOKUP(_xlfn.CONCAT(L76,$M$65),'data S&amp;P500'!$AY$2:$BH$73,6,0)</f>
        <v>3827</v>
      </c>
      <c r="O76" s="46" t="e">
        <f t="shared" si="129"/>
        <v>#VALUE!</v>
      </c>
      <c r="P76" s="48">
        <f>VLOOKUP(_xlfn.CONCAT(L76,M65),'data S&amp;P500'!$A$2:$J$73,6,0)</f>
        <v>337.69</v>
      </c>
      <c r="Q76" s="20">
        <f t="shared" si="152"/>
        <v>373.88</v>
      </c>
      <c r="R76" s="47">
        <f t="shared" si="124"/>
        <v>9.6795763346528299E-2</v>
      </c>
      <c r="S76" s="46" t="e">
        <f t="shared" si="130"/>
        <v>#VALUE!</v>
      </c>
      <c r="T76" s="46">
        <f t="shared" si="153"/>
        <v>3414.5</v>
      </c>
      <c r="U76" s="46" t="e">
        <f t="shared" si="131"/>
        <v>#VALUE!</v>
      </c>
      <c r="V76" s="46" t="e">
        <f t="shared" si="132"/>
        <v>#VALUE!</v>
      </c>
      <c r="W76" s="47" t="e">
        <f t="shared" si="133"/>
        <v>#VALUE!</v>
      </c>
      <c r="X76" s="20"/>
      <c r="Y76" s="20" t="s">
        <v>36</v>
      </c>
      <c r="Z76" s="49" t="e">
        <f t="shared" si="134"/>
        <v>#VALUE!</v>
      </c>
      <c r="AA76" s="46">
        <f t="shared" si="135"/>
        <v>3827</v>
      </c>
      <c r="AB76" s="46" t="e">
        <f t="shared" si="136"/>
        <v>#VALUE!</v>
      </c>
      <c r="AC76" s="48">
        <f t="shared" si="137"/>
        <v>337.69</v>
      </c>
      <c r="AD76" s="48">
        <f t="shared" si="138"/>
        <v>373.88</v>
      </c>
      <c r="AE76" s="47">
        <f t="shared" si="125"/>
        <v>9.6795763346528299E-2</v>
      </c>
      <c r="AF76" s="46" t="e">
        <f t="shared" si="139"/>
        <v>#VALUE!</v>
      </c>
      <c r="AG76" s="46">
        <f t="shared" si="154"/>
        <v>3414.5</v>
      </c>
      <c r="AH76" s="46" t="e">
        <f t="shared" si="140"/>
        <v>#VALUE!</v>
      </c>
      <c r="AI76" s="46" t="e">
        <f t="shared" si="141"/>
        <v>#VALUE!</v>
      </c>
      <c r="AJ76" s="47" t="e">
        <f t="shared" si="142"/>
        <v>#VALUE!</v>
      </c>
      <c r="AL76" s="20" t="s">
        <v>36</v>
      </c>
      <c r="AM76" s="49">
        <f t="shared" si="143"/>
        <v>0</v>
      </c>
      <c r="AN76" s="46">
        <f t="shared" si="144"/>
        <v>3827</v>
      </c>
      <c r="AO76" s="46">
        <f t="shared" si="145"/>
        <v>0</v>
      </c>
      <c r="AP76" s="48">
        <f t="shared" si="146"/>
        <v>337.69</v>
      </c>
      <c r="AQ76" s="48">
        <f t="shared" si="147"/>
        <v>373.88</v>
      </c>
      <c r="AR76" s="47">
        <f t="shared" si="126"/>
        <v>9.6795763346528299E-2</v>
      </c>
      <c r="AS76" s="46">
        <f t="shared" si="148"/>
        <v>0</v>
      </c>
      <c r="AT76" s="46">
        <f t="shared" si="155"/>
        <v>3414.5</v>
      </c>
      <c r="AU76" s="46">
        <f t="shared" si="149"/>
        <v>0</v>
      </c>
      <c r="AV76" s="46">
        <f t="shared" si="150"/>
        <v>0</v>
      </c>
      <c r="AW76" s="47" t="e">
        <f t="shared" si="151"/>
        <v>#DIV/0!</v>
      </c>
    </row>
    <row r="77" spans="1:60" x14ac:dyDescent="0.25">
      <c r="L77" s="20" t="s">
        <v>37</v>
      </c>
      <c r="M77" s="46" t="str">
        <f t="shared" si="128"/>
        <v/>
      </c>
      <c r="N77" s="46">
        <f>VLOOKUP(_xlfn.CONCAT(L77,$M$65),'data S&amp;P500'!$AY$2:$BH$73,6,0)</f>
        <v>3870.35</v>
      </c>
      <c r="O77" s="46" t="e">
        <f t="shared" si="129"/>
        <v>#VALUE!</v>
      </c>
      <c r="P77" s="48">
        <f>VLOOKUP(_xlfn.CONCAT(L77,M65),'data S&amp;P500'!$A$2:$J$73,6,0)</f>
        <v>330.2</v>
      </c>
      <c r="Q77" s="20">
        <f t="shared" si="152"/>
        <v>373.88</v>
      </c>
      <c r="R77" s="47">
        <f t="shared" si="124"/>
        <v>0.11682892906815023</v>
      </c>
      <c r="S77" s="46" t="e">
        <f t="shared" si="130"/>
        <v>#VALUE!</v>
      </c>
      <c r="T77" s="46">
        <f t="shared" si="153"/>
        <v>3414.5</v>
      </c>
      <c r="U77" s="46" t="e">
        <f t="shared" si="131"/>
        <v>#VALUE!</v>
      </c>
      <c r="V77" s="46" t="e">
        <f t="shared" si="132"/>
        <v>#VALUE!</v>
      </c>
      <c r="W77" s="47" t="e">
        <f t="shared" si="133"/>
        <v>#VALUE!</v>
      </c>
      <c r="X77" s="20"/>
      <c r="Y77" s="20" t="s">
        <v>37</v>
      </c>
      <c r="Z77" s="49" t="e">
        <f t="shared" si="134"/>
        <v>#VALUE!</v>
      </c>
      <c r="AA77" s="46">
        <f t="shared" si="135"/>
        <v>3870.35</v>
      </c>
      <c r="AB77" s="46" t="e">
        <f t="shared" si="136"/>
        <v>#VALUE!</v>
      </c>
      <c r="AC77" s="48">
        <f t="shared" si="137"/>
        <v>330.2</v>
      </c>
      <c r="AD77" s="48">
        <f t="shared" si="138"/>
        <v>373.88</v>
      </c>
      <c r="AE77" s="47">
        <f t="shared" si="125"/>
        <v>0.11682892906815023</v>
      </c>
      <c r="AF77" s="46" t="e">
        <f t="shared" si="139"/>
        <v>#VALUE!</v>
      </c>
      <c r="AG77" s="46">
        <f t="shared" si="154"/>
        <v>3414.5</v>
      </c>
      <c r="AH77" s="46" t="e">
        <f t="shared" si="140"/>
        <v>#VALUE!</v>
      </c>
      <c r="AI77" s="46" t="e">
        <f t="shared" si="141"/>
        <v>#VALUE!</v>
      </c>
      <c r="AJ77" s="47" t="e">
        <f t="shared" si="142"/>
        <v>#VALUE!</v>
      </c>
      <c r="AL77" s="20" t="s">
        <v>37</v>
      </c>
      <c r="AM77" s="49">
        <f t="shared" si="143"/>
        <v>0</v>
      </c>
      <c r="AN77" s="46">
        <f t="shared" si="144"/>
        <v>3870.35</v>
      </c>
      <c r="AO77" s="46">
        <f t="shared" si="145"/>
        <v>0</v>
      </c>
      <c r="AP77" s="48">
        <f t="shared" si="146"/>
        <v>330.2</v>
      </c>
      <c r="AQ77" s="48">
        <f t="shared" si="147"/>
        <v>373.88</v>
      </c>
      <c r="AR77" s="47">
        <f t="shared" si="126"/>
        <v>0.11682892906815023</v>
      </c>
      <c r="AS77" s="46">
        <f t="shared" si="148"/>
        <v>0</v>
      </c>
      <c r="AT77" s="46">
        <f t="shared" si="155"/>
        <v>3414.5</v>
      </c>
      <c r="AU77" s="46">
        <f t="shared" si="149"/>
        <v>0</v>
      </c>
      <c r="AV77" s="46">
        <f t="shared" si="150"/>
        <v>0</v>
      </c>
      <c r="AW77" s="47" t="e">
        <f t="shared" si="151"/>
        <v>#DIV/0!</v>
      </c>
    </row>
    <row r="78" spans="1:60" x14ac:dyDescent="0.25">
      <c r="L78" s="20" t="s">
        <v>38</v>
      </c>
      <c r="M78" s="46" t="str">
        <f t="shared" si="128"/>
        <v/>
      </c>
      <c r="N78" s="46">
        <f>VLOOKUP(_xlfn.CONCAT(L78,$M$65),'data S&amp;P500'!$AY$2:$BH$73,6,0)</f>
        <v>3596.25</v>
      </c>
      <c r="O78" s="46" t="e">
        <f t="shared" si="129"/>
        <v>#VALUE!</v>
      </c>
      <c r="P78" s="48">
        <f>VLOOKUP(_xlfn.CONCAT(L78,M65),'data S&amp;P500'!$A$2:$J$73,6,0)</f>
        <v>365.57</v>
      </c>
      <c r="Q78" s="20">
        <f t="shared" si="152"/>
        <v>373.88</v>
      </c>
      <c r="R78" s="47">
        <f t="shared" si="124"/>
        <v>2.2226382796619242E-2</v>
      </c>
      <c r="S78" s="46" t="e">
        <f t="shared" si="130"/>
        <v>#VALUE!</v>
      </c>
      <c r="T78" s="46">
        <f t="shared" si="153"/>
        <v>3414.5</v>
      </c>
      <c r="U78" s="46" t="e">
        <f t="shared" si="131"/>
        <v>#VALUE!</v>
      </c>
      <c r="V78" s="46" t="e">
        <f t="shared" si="132"/>
        <v>#VALUE!</v>
      </c>
      <c r="W78" s="47" t="e">
        <f t="shared" si="133"/>
        <v>#VALUE!</v>
      </c>
      <c r="X78" s="20"/>
      <c r="Y78" s="20" t="s">
        <v>38</v>
      </c>
      <c r="Z78" s="49" t="e">
        <f t="shared" si="134"/>
        <v>#VALUE!</v>
      </c>
      <c r="AA78" s="46">
        <f t="shared" si="135"/>
        <v>3596.25</v>
      </c>
      <c r="AB78" s="46" t="e">
        <f t="shared" si="136"/>
        <v>#VALUE!</v>
      </c>
      <c r="AC78" s="48">
        <f t="shared" si="137"/>
        <v>365.57</v>
      </c>
      <c r="AD78" s="48">
        <f t="shared" si="138"/>
        <v>373.88</v>
      </c>
      <c r="AE78" s="47">
        <f t="shared" si="125"/>
        <v>2.2226382796619242E-2</v>
      </c>
      <c r="AF78" s="46" t="e">
        <f t="shared" si="139"/>
        <v>#VALUE!</v>
      </c>
      <c r="AG78" s="46">
        <f t="shared" si="154"/>
        <v>3414.5</v>
      </c>
      <c r="AH78" s="46" t="e">
        <f t="shared" si="140"/>
        <v>#VALUE!</v>
      </c>
      <c r="AI78" s="46" t="e">
        <f t="shared" si="141"/>
        <v>#VALUE!</v>
      </c>
      <c r="AJ78" s="47" t="e">
        <f t="shared" si="142"/>
        <v>#VALUE!</v>
      </c>
      <c r="AL78" s="20" t="s">
        <v>38</v>
      </c>
      <c r="AM78" s="49">
        <f t="shared" si="143"/>
        <v>0</v>
      </c>
      <c r="AN78" s="46">
        <f t="shared" si="144"/>
        <v>3596.25</v>
      </c>
      <c r="AO78" s="46">
        <f t="shared" si="145"/>
        <v>0</v>
      </c>
      <c r="AP78" s="48">
        <f t="shared" si="146"/>
        <v>365.57</v>
      </c>
      <c r="AQ78" s="48">
        <f t="shared" si="147"/>
        <v>373.88</v>
      </c>
      <c r="AR78" s="47">
        <f t="shared" si="126"/>
        <v>2.2226382796619242E-2</v>
      </c>
      <c r="AS78" s="46">
        <f t="shared" si="148"/>
        <v>0</v>
      </c>
      <c r="AT78" s="46">
        <f t="shared" si="155"/>
        <v>3414.5</v>
      </c>
      <c r="AU78" s="46">
        <f t="shared" si="149"/>
        <v>0</v>
      </c>
      <c r="AV78" s="46">
        <f t="shared" si="150"/>
        <v>0</v>
      </c>
      <c r="AW78" s="47" t="e">
        <f t="shared" si="151"/>
        <v>#DIV/0!</v>
      </c>
    </row>
    <row r="79" spans="1:60" x14ac:dyDescent="0.25">
      <c r="L79" s="20"/>
      <c r="M79" s="46">
        <f>SUM(M67:M78)</f>
        <v>0</v>
      </c>
      <c r="N79" s="46"/>
      <c r="O79" s="46"/>
      <c r="P79" s="20"/>
      <c r="Q79" s="20"/>
      <c r="R79" s="47" t="e">
        <f>S79/M79</f>
        <v>#VALUE!</v>
      </c>
      <c r="S79" s="46" t="e">
        <f>SUM(S67:S78)</f>
        <v>#VALUE!</v>
      </c>
      <c r="T79" s="46"/>
      <c r="U79" s="46"/>
      <c r="V79" s="46" t="e">
        <f>SUM(V67:V78)</f>
        <v>#VALUE!</v>
      </c>
      <c r="W79" s="63" t="e">
        <f>V79/M79</f>
        <v>#VALUE!</v>
      </c>
      <c r="X79" s="20"/>
      <c r="Y79" s="20"/>
      <c r="Z79" s="46" t="e">
        <f>SUM(Z67:Z78)</f>
        <v>#VALUE!</v>
      </c>
      <c r="AA79" s="46"/>
      <c r="AB79" s="46"/>
      <c r="AC79" s="20"/>
      <c r="AD79" s="20"/>
      <c r="AE79" s="47" t="e">
        <f>AF79/Z79</f>
        <v>#VALUE!</v>
      </c>
      <c r="AF79" s="46" t="e">
        <f>SUM(AF67:AF78)</f>
        <v>#VALUE!</v>
      </c>
      <c r="AG79" s="46"/>
      <c r="AH79" s="46"/>
      <c r="AI79" s="46" t="e">
        <f>SUM(AI67:AI78)</f>
        <v>#VALUE!</v>
      </c>
      <c r="AJ79" s="63" t="e">
        <f>AI79/Z79</f>
        <v>#VALUE!</v>
      </c>
      <c r="AL79" s="20"/>
      <c r="AM79" s="46">
        <f>SUM(AM67:AM78)</f>
        <v>0</v>
      </c>
      <c r="AN79" s="46"/>
      <c r="AO79" s="46"/>
      <c r="AP79" s="20"/>
      <c r="AQ79" s="20"/>
      <c r="AR79" s="47" t="e">
        <f>AS79/AM79</f>
        <v>#DIV/0!</v>
      </c>
      <c r="AS79" s="46">
        <f>SUM(AS67:AS78)</f>
        <v>0</v>
      </c>
      <c r="AT79" s="46"/>
      <c r="AU79" s="46"/>
      <c r="AV79" s="46">
        <f>SUM(AV67:AV78)</f>
        <v>0</v>
      </c>
      <c r="AW79" s="63" t="e">
        <f>AV79/AM79</f>
        <v>#DIV/0!</v>
      </c>
    </row>
    <row r="81" spans="12:49" x14ac:dyDescent="0.25">
      <c r="L81" s="20" t="s">
        <v>43</v>
      </c>
      <c r="M81" s="20">
        <v>2019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</row>
    <row r="82" spans="12:49" x14ac:dyDescent="0.25"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</row>
    <row r="83" spans="12:49" x14ac:dyDescent="0.25">
      <c r="L83" s="20" t="s">
        <v>27</v>
      </c>
      <c r="M83" s="46" t="str">
        <f>M67</f>
        <v/>
      </c>
      <c r="N83" s="46">
        <f>VLOOKUP(_xlfn.CONCAT(L83,$M$81),'data S&amp;P500'!$AY$2:$BH$73,6,0)</f>
        <v>3247.5</v>
      </c>
      <c r="O83" s="46" t="e">
        <f>M83/N83</f>
        <v>#VALUE!</v>
      </c>
      <c r="P83" s="48">
        <f>VLOOKUP(_xlfn.CONCAT(L83,M81),'data S&amp;P500'!$A$2:$J$73,6,0)</f>
        <v>245.98</v>
      </c>
      <c r="Q83" s="20">
        <f>VLOOKUP(_xlfn.CONCAT(L94,M81),$A$1:$E$73,5,0)</f>
        <v>321.86</v>
      </c>
      <c r="R83" s="47">
        <f t="shared" ref="R83:R94" si="156">(Q83-P83)/Q83</f>
        <v>0.23575467594606356</v>
      </c>
      <c r="S83" s="46" t="e">
        <f>O83*(1+R83)</f>
        <v>#VALUE!</v>
      </c>
      <c r="T83" s="46">
        <f>VLOOKUP(_xlfn.CONCAT(L94,M81),$AY$1:$BC$73,5,0)</f>
        <v>3285.23</v>
      </c>
      <c r="U83" s="46" t="e">
        <f>S83*T83</f>
        <v>#VALUE!</v>
      </c>
      <c r="V83" s="46" t="e">
        <f>U83-M83</f>
        <v>#VALUE!</v>
      </c>
      <c r="W83" s="47" t="e">
        <f>V83/M83</f>
        <v>#VALUE!</v>
      </c>
      <c r="X83" s="20"/>
      <c r="Y83" s="20" t="s">
        <v>27</v>
      </c>
      <c r="Z83" s="49" t="e">
        <f>Z67</f>
        <v>#VALUE!</v>
      </c>
      <c r="AA83" s="46">
        <f>N83</f>
        <v>3247.5</v>
      </c>
      <c r="AB83" s="46" t="e">
        <f>Z83/AA83</f>
        <v>#VALUE!</v>
      </c>
      <c r="AC83" s="48">
        <f>P83</f>
        <v>245.98</v>
      </c>
      <c r="AD83" s="48">
        <f>Q83</f>
        <v>321.86</v>
      </c>
      <c r="AE83" s="47">
        <f t="shared" ref="AE83:AE94" si="157">(AD83-AC83)/AD83</f>
        <v>0.23575467594606356</v>
      </c>
      <c r="AF83" s="46" t="e">
        <f>AB83*(1+AE83)</f>
        <v>#VALUE!</v>
      </c>
      <c r="AG83" s="46">
        <f>T83</f>
        <v>3285.23</v>
      </c>
      <c r="AH83" s="46" t="e">
        <f>AF83*AG83</f>
        <v>#VALUE!</v>
      </c>
      <c r="AI83" s="46" t="e">
        <f>AH83-Z83</f>
        <v>#VALUE!</v>
      </c>
      <c r="AJ83" s="47" t="e">
        <f>AI83/Z83</f>
        <v>#VALUE!</v>
      </c>
      <c r="AL83" s="20" t="s">
        <v>27</v>
      </c>
      <c r="AM83" s="49">
        <f>AM67</f>
        <v>0</v>
      </c>
      <c r="AN83" s="46">
        <f>AA83</f>
        <v>3247.5</v>
      </c>
      <c r="AO83" s="46">
        <f>AM83/AN83</f>
        <v>0</v>
      </c>
      <c r="AP83" s="48">
        <f>AC83</f>
        <v>245.98</v>
      </c>
      <c r="AQ83" s="48">
        <f>AD83</f>
        <v>321.86</v>
      </c>
      <c r="AR83" s="47">
        <f t="shared" ref="AR83:AR94" si="158">(AQ83-AP83)/AQ83</f>
        <v>0.23575467594606356</v>
      </c>
      <c r="AS83" s="46">
        <f>AO83*(1+AR83)</f>
        <v>0</v>
      </c>
      <c r="AT83" s="46">
        <f>AG83</f>
        <v>3285.23</v>
      </c>
      <c r="AU83" s="46">
        <f>AS83*AT83</f>
        <v>0</v>
      </c>
      <c r="AV83" s="46">
        <f>AU83-AM83</f>
        <v>0</v>
      </c>
      <c r="AW83" s="47" t="e">
        <f>AV83/AM83</f>
        <v>#DIV/0!</v>
      </c>
    </row>
    <row r="84" spans="12:49" x14ac:dyDescent="0.25">
      <c r="L84" s="20" t="s">
        <v>28</v>
      </c>
      <c r="M84" s="46" t="str">
        <f t="shared" ref="M84:M94" si="159">M68</f>
        <v/>
      </c>
      <c r="N84" s="46">
        <f>VLOOKUP(_xlfn.CONCAT(L84,$M$81),'data S&amp;P500'!$AY$2:$BH$73,6,0)</f>
        <v>3105</v>
      </c>
      <c r="O84" s="46" t="e">
        <f t="shared" ref="O84:O94" si="160">M84/N84</f>
        <v>#VALUE!</v>
      </c>
      <c r="P84" s="48">
        <f>VLOOKUP(_xlfn.CONCAT(L84,M81),'data S&amp;P500'!$A$2:$J$73,6,0)</f>
        <v>270.14999999999998</v>
      </c>
      <c r="Q84" s="20">
        <f>Q83</f>
        <v>321.86</v>
      </c>
      <c r="R84" s="47">
        <f t="shared" si="156"/>
        <v>0.1606599142484311</v>
      </c>
      <c r="S84" s="46" t="e">
        <f t="shared" ref="S84:S94" si="161">O84*(1+R84)</f>
        <v>#VALUE!</v>
      </c>
      <c r="T84" s="46">
        <f>T83</f>
        <v>3285.23</v>
      </c>
      <c r="U84" s="46" t="e">
        <f t="shared" ref="U84:U94" si="162">T84*S84</f>
        <v>#VALUE!</v>
      </c>
      <c r="V84" s="46" t="e">
        <f t="shared" ref="V84:V94" si="163">U84-M84</f>
        <v>#VALUE!</v>
      </c>
      <c r="W84" s="47" t="e">
        <f t="shared" ref="W84:W94" si="164">V84/M84</f>
        <v>#VALUE!</v>
      </c>
      <c r="X84" s="20"/>
      <c r="Y84" s="20" t="s">
        <v>28</v>
      </c>
      <c r="Z84" s="49" t="e">
        <f t="shared" ref="Z84:Z94" si="165">Z68</f>
        <v>#VALUE!</v>
      </c>
      <c r="AA84" s="46">
        <f t="shared" ref="AA84:AA94" si="166">N84</f>
        <v>3105</v>
      </c>
      <c r="AB84" s="46" t="e">
        <f t="shared" ref="AB84:AB94" si="167">Z84/AA84</f>
        <v>#VALUE!</v>
      </c>
      <c r="AC84" s="48">
        <f t="shared" ref="AC84:AC94" si="168">P84</f>
        <v>270.14999999999998</v>
      </c>
      <c r="AD84" s="48">
        <f t="shared" ref="AD84:AD94" si="169">Q84</f>
        <v>321.86</v>
      </c>
      <c r="AE84" s="47">
        <f t="shared" si="157"/>
        <v>0.1606599142484311</v>
      </c>
      <c r="AF84" s="46" t="e">
        <f t="shared" ref="AF84:AF94" si="170">AB84*(1+AE84)</f>
        <v>#VALUE!</v>
      </c>
      <c r="AG84" s="46">
        <f>AG83</f>
        <v>3285.23</v>
      </c>
      <c r="AH84" s="46" t="e">
        <f t="shared" ref="AH84:AH94" si="171">AG84*AF84</f>
        <v>#VALUE!</v>
      </c>
      <c r="AI84" s="46" t="e">
        <f t="shared" ref="AI84:AI94" si="172">AH84-Z84</f>
        <v>#VALUE!</v>
      </c>
      <c r="AJ84" s="47" t="e">
        <f t="shared" ref="AJ84:AJ94" si="173">AI84/Z84</f>
        <v>#VALUE!</v>
      </c>
      <c r="AL84" s="20" t="s">
        <v>28</v>
      </c>
      <c r="AM84" s="49">
        <f t="shared" ref="AM84:AM94" si="174">AM68</f>
        <v>0</v>
      </c>
      <c r="AN84" s="46">
        <f t="shared" ref="AN84:AN94" si="175">AA84</f>
        <v>3105</v>
      </c>
      <c r="AO84" s="46">
        <f t="shared" ref="AO84:AO94" si="176">AM84/AN84</f>
        <v>0</v>
      </c>
      <c r="AP84" s="48">
        <f t="shared" ref="AP84:AP94" si="177">AC84</f>
        <v>270.14999999999998</v>
      </c>
      <c r="AQ84" s="48">
        <f t="shared" ref="AQ84:AQ94" si="178">AD84</f>
        <v>321.86</v>
      </c>
      <c r="AR84" s="47">
        <f t="shared" si="158"/>
        <v>0.1606599142484311</v>
      </c>
      <c r="AS84" s="46">
        <f t="shared" ref="AS84:AS94" si="179">AO84*(1+AR84)</f>
        <v>0</v>
      </c>
      <c r="AT84" s="46">
        <f>AT83</f>
        <v>3285.23</v>
      </c>
      <c r="AU84" s="46">
        <f t="shared" ref="AU84:AU94" si="180">AT84*AS84</f>
        <v>0</v>
      </c>
      <c r="AV84" s="46">
        <f t="shared" ref="AV84:AV94" si="181">AU84-AM84</f>
        <v>0</v>
      </c>
      <c r="AW84" s="47" t="e">
        <f t="shared" ref="AW84:AW94" si="182">AV84/AM84</f>
        <v>#DIV/0!</v>
      </c>
    </row>
    <row r="85" spans="12:49" x14ac:dyDescent="0.25">
      <c r="L85" s="20" t="s">
        <v>29</v>
      </c>
      <c r="M85" s="46" t="str">
        <f t="shared" si="159"/>
        <v/>
      </c>
      <c r="N85" s="46">
        <f>VLOOKUP(_xlfn.CONCAT(L85,$M$81),'data S&amp;P500'!$AY$2:$BH$73,6,0)</f>
        <v>3081.5</v>
      </c>
      <c r="O85" s="46" t="e">
        <f t="shared" si="160"/>
        <v>#VALUE!</v>
      </c>
      <c r="P85" s="48">
        <f>VLOOKUP(_xlfn.CONCAT(L85,M81),'data S&amp;P500'!$A$2:$J$73,6,0)</f>
        <v>280.44</v>
      </c>
      <c r="Q85" s="20">
        <f t="shared" ref="Q85:Q94" si="183">Q84</f>
        <v>321.86</v>
      </c>
      <c r="R85" s="47">
        <f t="shared" si="156"/>
        <v>0.128689492325856</v>
      </c>
      <c r="S85" s="46" t="e">
        <f t="shared" si="161"/>
        <v>#VALUE!</v>
      </c>
      <c r="T85" s="46">
        <f t="shared" ref="T85:T94" si="184">T84</f>
        <v>3285.23</v>
      </c>
      <c r="U85" s="46" t="e">
        <f t="shared" si="162"/>
        <v>#VALUE!</v>
      </c>
      <c r="V85" s="46" t="e">
        <f t="shared" si="163"/>
        <v>#VALUE!</v>
      </c>
      <c r="W85" s="47" t="e">
        <f t="shared" si="164"/>
        <v>#VALUE!</v>
      </c>
      <c r="X85" s="20"/>
      <c r="Y85" s="20" t="s">
        <v>29</v>
      </c>
      <c r="Z85" s="49" t="e">
        <f t="shared" si="165"/>
        <v>#VALUE!</v>
      </c>
      <c r="AA85" s="46">
        <f t="shared" si="166"/>
        <v>3081.5</v>
      </c>
      <c r="AB85" s="46" t="e">
        <f t="shared" si="167"/>
        <v>#VALUE!</v>
      </c>
      <c r="AC85" s="48">
        <f t="shared" si="168"/>
        <v>280.44</v>
      </c>
      <c r="AD85" s="48">
        <f t="shared" si="169"/>
        <v>321.86</v>
      </c>
      <c r="AE85" s="47">
        <f t="shared" si="157"/>
        <v>0.128689492325856</v>
      </c>
      <c r="AF85" s="46" t="e">
        <f t="shared" si="170"/>
        <v>#VALUE!</v>
      </c>
      <c r="AG85" s="46">
        <f t="shared" ref="AG85:AG94" si="185">AG84</f>
        <v>3285.23</v>
      </c>
      <c r="AH85" s="46" t="e">
        <f t="shared" si="171"/>
        <v>#VALUE!</v>
      </c>
      <c r="AI85" s="46" t="e">
        <f t="shared" si="172"/>
        <v>#VALUE!</v>
      </c>
      <c r="AJ85" s="47" t="e">
        <f t="shared" si="173"/>
        <v>#VALUE!</v>
      </c>
      <c r="AL85" s="20" t="s">
        <v>29</v>
      </c>
      <c r="AM85" s="49">
        <f t="shared" si="174"/>
        <v>0</v>
      </c>
      <c r="AN85" s="46">
        <f t="shared" si="175"/>
        <v>3081.5</v>
      </c>
      <c r="AO85" s="46">
        <f t="shared" si="176"/>
        <v>0</v>
      </c>
      <c r="AP85" s="48">
        <f t="shared" si="177"/>
        <v>280.44</v>
      </c>
      <c r="AQ85" s="48">
        <f t="shared" si="178"/>
        <v>321.86</v>
      </c>
      <c r="AR85" s="47">
        <f t="shared" si="158"/>
        <v>0.128689492325856</v>
      </c>
      <c r="AS85" s="46">
        <f t="shared" si="179"/>
        <v>0</v>
      </c>
      <c r="AT85" s="46">
        <f t="shared" ref="AT85:AT94" si="186">AT84</f>
        <v>3285.23</v>
      </c>
      <c r="AU85" s="46">
        <f t="shared" si="180"/>
        <v>0</v>
      </c>
      <c r="AV85" s="46">
        <f t="shared" si="181"/>
        <v>0</v>
      </c>
      <c r="AW85" s="47" t="e">
        <f t="shared" si="182"/>
        <v>#DIV/0!</v>
      </c>
    </row>
    <row r="86" spans="12:49" x14ac:dyDescent="0.25">
      <c r="L86" s="20" t="s">
        <v>30</v>
      </c>
      <c r="M86" s="46" t="str">
        <f t="shared" si="159"/>
        <v/>
      </c>
      <c r="N86" s="46">
        <f>VLOOKUP(_xlfn.CONCAT(L86,$M$81),'data S&amp;P500'!$AY$2:$BH$73,6,0)</f>
        <v>3188.03</v>
      </c>
      <c r="O86" s="46" t="e">
        <f t="shared" si="160"/>
        <v>#VALUE!</v>
      </c>
      <c r="P86" s="48">
        <f>VLOOKUP(_xlfn.CONCAT(L86,M81),'data S&amp;P500'!$A$2:$J$73,6,0)</f>
        <v>284.7</v>
      </c>
      <c r="Q86" s="20">
        <f t="shared" si="183"/>
        <v>321.86</v>
      </c>
      <c r="R86" s="47">
        <f t="shared" si="156"/>
        <v>0.11545392406636433</v>
      </c>
      <c r="S86" s="46" t="e">
        <f t="shared" si="161"/>
        <v>#VALUE!</v>
      </c>
      <c r="T86" s="46">
        <f t="shared" si="184"/>
        <v>3285.23</v>
      </c>
      <c r="U86" s="46" t="e">
        <f t="shared" si="162"/>
        <v>#VALUE!</v>
      </c>
      <c r="V86" s="46" t="e">
        <f t="shared" si="163"/>
        <v>#VALUE!</v>
      </c>
      <c r="W86" s="47" t="e">
        <f t="shared" si="164"/>
        <v>#VALUE!</v>
      </c>
      <c r="X86" s="20"/>
      <c r="Y86" s="20" t="s">
        <v>30</v>
      </c>
      <c r="Z86" s="49" t="e">
        <f t="shared" si="165"/>
        <v>#VALUE!</v>
      </c>
      <c r="AA86" s="46">
        <f t="shared" si="166"/>
        <v>3188.03</v>
      </c>
      <c r="AB86" s="46" t="e">
        <f t="shared" si="167"/>
        <v>#VALUE!</v>
      </c>
      <c r="AC86" s="48">
        <f t="shared" si="168"/>
        <v>284.7</v>
      </c>
      <c r="AD86" s="48">
        <f t="shared" si="169"/>
        <v>321.86</v>
      </c>
      <c r="AE86" s="47">
        <f t="shared" si="157"/>
        <v>0.11545392406636433</v>
      </c>
      <c r="AF86" s="46" t="e">
        <f t="shared" si="170"/>
        <v>#VALUE!</v>
      </c>
      <c r="AG86" s="46">
        <f t="shared" si="185"/>
        <v>3285.23</v>
      </c>
      <c r="AH86" s="46" t="e">
        <f t="shared" si="171"/>
        <v>#VALUE!</v>
      </c>
      <c r="AI86" s="46" t="e">
        <f t="shared" si="172"/>
        <v>#VALUE!</v>
      </c>
      <c r="AJ86" s="47" t="e">
        <f t="shared" si="173"/>
        <v>#VALUE!</v>
      </c>
      <c r="AL86" s="20" t="s">
        <v>30</v>
      </c>
      <c r="AM86" s="49">
        <f t="shared" si="174"/>
        <v>0</v>
      </c>
      <c r="AN86" s="46">
        <f t="shared" si="175"/>
        <v>3188.03</v>
      </c>
      <c r="AO86" s="46">
        <f t="shared" si="176"/>
        <v>0</v>
      </c>
      <c r="AP86" s="48">
        <f t="shared" si="177"/>
        <v>284.7</v>
      </c>
      <c r="AQ86" s="48">
        <f t="shared" si="178"/>
        <v>321.86</v>
      </c>
      <c r="AR86" s="47">
        <f t="shared" si="158"/>
        <v>0.11545392406636433</v>
      </c>
      <c r="AS86" s="46">
        <f t="shared" si="179"/>
        <v>0</v>
      </c>
      <c r="AT86" s="46">
        <f t="shared" si="186"/>
        <v>3285.23</v>
      </c>
      <c r="AU86" s="46">
        <f t="shared" si="180"/>
        <v>0</v>
      </c>
      <c r="AV86" s="46">
        <f t="shared" si="181"/>
        <v>0</v>
      </c>
      <c r="AW86" s="47" t="e">
        <f t="shared" si="182"/>
        <v>#DIV/0!</v>
      </c>
    </row>
    <row r="87" spans="12:49" x14ac:dyDescent="0.25">
      <c r="L87" s="20" t="s">
        <v>31</v>
      </c>
      <c r="M87" s="46" t="str">
        <f t="shared" si="159"/>
        <v/>
      </c>
      <c r="N87" s="46">
        <f>VLOOKUP(_xlfn.CONCAT(L87,$M$81),'data S&amp;P500'!$AY$2:$BH$73,6,0)</f>
        <v>3233.25</v>
      </c>
      <c r="O87" s="46" t="e">
        <f t="shared" si="160"/>
        <v>#VALUE!</v>
      </c>
      <c r="P87" s="48">
        <f>VLOOKUP(_xlfn.CONCAT(L87,M81),'data S&amp;P500'!$A$2:$J$73,6,0)</f>
        <v>294.72000000000003</v>
      </c>
      <c r="Q87" s="20">
        <f t="shared" si="183"/>
        <v>321.86</v>
      </c>
      <c r="R87" s="47">
        <f t="shared" si="156"/>
        <v>8.4322376188404852E-2</v>
      </c>
      <c r="S87" s="46" t="e">
        <f t="shared" si="161"/>
        <v>#VALUE!</v>
      </c>
      <c r="T87" s="46">
        <f t="shared" si="184"/>
        <v>3285.23</v>
      </c>
      <c r="U87" s="46" t="e">
        <f t="shared" si="162"/>
        <v>#VALUE!</v>
      </c>
      <c r="V87" s="46" t="e">
        <f t="shared" si="163"/>
        <v>#VALUE!</v>
      </c>
      <c r="W87" s="47" t="e">
        <f t="shared" si="164"/>
        <v>#VALUE!</v>
      </c>
      <c r="X87" s="20"/>
      <c r="Y87" s="20" t="s">
        <v>31</v>
      </c>
      <c r="Z87" s="49" t="e">
        <f t="shared" si="165"/>
        <v>#VALUE!</v>
      </c>
      <c r="AA87" s="46">
        <f t="shared" si="166"/>
        <v>3233.25</v>
      </c>
      <c r="AB87" s="46" t="e">
        <f t="shared" si="167"/>
        <v>#VALUE!</v>
      </c>
      <c r="AC87" s="48">
        <f t="shared" si="168"/>
        <v>294.72000000000003</v>
      </c>
      <c r="AD87" s="48">
        <f t="shared" si="169"/>
        <v>321.86</v>
      </c>
      <c r="AE87" s="47">
        <f t="shared" si="157"/>
        <v>8.4322376188404852E-2</v>
      </c>
      <c r="AF87" s="46" t="e">
        <f t="shared" si="170"/>
        <v>#VALUE!</v>
      </c>
      <c r="AG87" s="46">
        <f t="shared" si="185"/>
        <v>3285.23</v>
      </c>
      <c r="AH87" s="46" t="e">
        <f t="shared" si="171"/>
        <v>#VALUE!</v>
      </c>
      <c r="AI87" s="46" t="e">
        <f t="shared" si="172"/>
        <v>#VALUE!</v>
      </c>
      <c r="AJ87" s="47" t="e">
        <f t="shared" si="173"/>
        <v>#VALUE!</v>
      </c>
      <c r="AL87" s="20" t="s">
        <v>31</v>
      </c>
      <c r="AM87" s="49">
        <f t="shared" si="174"/>
        <v>0</v>
      </c>
      <c r="AN87" s="46">
        <f t="shared" si="175"/>
        <v>3233.25</v>
      </c>
      <c r="AO87" s="46">
        <f t="shared" si="176"/>
        <v>0</v>
      </c>
      <c r="AP87" s="48">
        <f t="shared" si="177"/>
        <v>294.72000000000003</v>
      </c>
      <c r="AQ87" s="48">
        <f t="shared" si="178"/>
        <v>321.86</v>
      </c>
      <c r="AR87" s="47">
        <f t="shared" si="158"/>
        <v>8.4322376188404852E-2</v>
      </c>
      <c r="AS87" s="46">
        <f t="shared" si="179"/>
        <v>0</v>
      </c>
      <c r="AT87" s="46">
        <f t="shared" si="186"/>
        <v>3285.23</v>
      </c>
      <c r="AU87" s="46">
        <f t="shared" si="180"/>
        <v>0</v>
      </c>
      <c r="AV87" s="46">
        <f t="shared" si="181"/>
        <v>0</v>
      </c>
      <c r="AW87" s="47" t="e">
        <f t="shared" si="182"/>
        <v>#DIV/0!</v>
      </c>
    </row>
    <row r="88" spans="12:49" x14ac:dyDescent="0.25">
      <c r="L88" s="20" t="s">
        <v>32</v>
      </c>
      <c r="M88" s="46" t="str">
        <f t="shared" si="159"/>
        <v/>
      </c>
      <c r="N88" s="46">
        <f>VLOOKUP(_xlfn.CONCAT(L88,$M$81),'data S&amp;P500'!$AY$2:$BH$73,6,0)</f>
        <v>3380</v>
      </c>
      <c r="O88" s="46" t="e">
        <f t="shared" si="160"/>
        <v>#VALUE!</v>
      </c>
      <c r="P88" s="48">
        <f>VLOOKUP(_xlfn.CONCAT(L88,M81),'data S&amp;P500'!$A$2:$J$73,6,0)</f>
        <v>275.31</v>
      </c>
      <c r="Q88" s="20">
        <f t="shared" si="183"/>
        <v>321.86</v>
      </c>
      <c r="R88" s="47">
        <f t="shared" si="156"/>
        <v>0.14462809917355374</v>
      </c>
      <c r="S88" s="46" t="e">
        <f t="shared" si="161"/>
        <v>#VALUE!</v>
      </c>
      <c r="T88" s="46">
        <f t="shared" si="184"/>
        <v>3285.23</v>
      </c>
      <c r="U88" s="46" t="e">
        <f t="shared" si="162"/>
        <v>#VALUE!</v>
      </c>
      <c r="V88" s="46" t="e">
        <f t="shared" si="163"/>
        <v>#VALUE!</v>
      </c>
      <c r="W88" s="47" t="e">
        <f t="shared" si="164"/>
        <v>#VALUE!</v>
      </c>
      <c r="X88" s="20"/>
      <c r="Y88" s="20" t="s">
        <v>32</v>
      </c>
      <c r="Z88" s="49" t="e">
        <f t="shared" si="165"/>
        <v>#VALUE!</v>
      </c>
      <c r="AA88" s="46">
        <f t="shared" si="166"/>
        <v>3380</v>
      </c>
      <c r="AB88" s="46" t="e">
        <f t="shared" si="167"/>
        <v>#VALUE!</v>
      </c>
      <c r="AC88" s="48">
        <f t="shared" si="168"/>
        <v>275.31</v>
      </c>
      <c r="AD88" s="48">
        <f t="shared" si="169"/>
        <v>321.86</v>
      </c>
      <c r="AE88" s="47">
        <f t="shared" si="157"/>
        <v>0.14462809917355374</v>
      </c>
      <c r="AF88" s="46" t="e">
        <f t="shared" si="170"/>
        <v>#VALUE!</v>
      </c>
      <c r="AG88" s="46">
        <f t="shared" si="185"/>
        <v>3285.23</v>
      </c>
      <c r="AH88" s="46" t="e">
        <f t="shared" si="171"/>
        <v>#VALUE!</v>
      </c>
      <c r="AI88" s="46" t="e">
        <f t="shared" si="172"/>
        <v>#VALUE!</v>
      </c>
      <c r="AJ88" s="47" t="e">
        <f t="shared" si="173"/>
        <v>#VALUE!</v>
      </c>
      <c r="AL88" s="20" t="s">
        <v>32</v>
      </c>
      <c r="AM88" s="49">
        <f t="shared" si="174"/>
        <v>0</v>
      </c>
      <c r="AN88" s="46">
        <f t="shared" si="175"/>
        <v>3380</v>
      </c>
      <c r="AO88" s="46">
        <f t="shared" si="176"/>
        <v>0</v>
      </c>
      <c r="AP88" s="48">
        <f t="shared" si="177"/>
        <v>275.31</v>
      </c>
      <c r="AQ88" s="48">
        <f t="shared" si="178"/>
        <v>321.86</v>
      </c>
      <c r="AR88" s="47">
        <f t="shared" si="158"/>
        <v>0.14462809917355374</v>
      </c>
      <c r="AS88" s="46">
        <f t="shared" si="179"/>
        <v>0</v>
      </c>
      <c r="AT88" s="46">
        <f t="shared" si="186"/>
        <v>3285.23</v>
      </c>
      <c r="AU88" s="46">
        <f t="shared" si="180"/>
        <v>0</v>
      </c>
      <c r="AV88" s="46">
        <f t="shared" si="181"/>
        <v>0</v>
      </c>
      <c r="AW88" s="47" t="e">
        <f t="shared" si="182"/>
        <v>#DIV/0!</v>
      </c>
    </row>
    <row r="89" spans="12:49" x14ac:dyDescent="0.25">
      <c r="L89" s="20" t="s">
        <v>33</v>
      </c>
      <c r="M89" s="46" t="str">
        <f t="shared" si="159"/>
        <v/>
      </c>
      <c r="N89" s="46">
        <f>VLOOKUP(_xlfn.CONCAT(L89,$M$81),'data S&amp;P500'!$AY$2:$BH$73,6,0)</f>
        <v>3212.75</v>
      </c>
      <c r="O89" s="46" t="e">
        <f t="shared" si="160"/>
        <v>#VALUE!</v>
      </c>
      <c r="P89" s="48">
        <f>VLOOKUP(_xlfn.CONCAT(L89,M81),'data S&amp;P500'!$A$2:$J$73,6,0)</f>
        <v>296.68</v>
      </c>
      <c r="Q89" s="20">
        <f t="shared" si="183"/>
        <v>321.86</v>
      </c>
      <c r="R89" s="47">
        <f t="shared" si="156"/>
        <v>7.8232772012676338E-2</v>
      </c>
      <c r="S89" s="46" t="e">
        <f t="shared" si="161"/>
        <v>#VALUE!</v>
      </c>
      <c r="T89" s="46">
        <f t="shared" si="184"/>
        <v>3285.23</v>
      </c>
      <c r="U89" s="46" t="e">
        <f t="shared" si="162"/>
        <v>#VALUE!</v>
      </c>
      <c r="V89" s="46" t="e">
        <f t="shared" si="163"/>
        <v>#VALUE!</v>
      </c>
      <c r="W89" s="47" t="e">
        <f t="shared" si="164"/>
        <v>#VALUE!</v>
      </c>
      <c r="X89" s="20"/>
      <c r="Y89" s="20" t="s">
        <v>33</v>
      </c>
      <c r="Z89" s="49" t="e">
        <f t="shared" si="165"/>
        <v>#VALUE!</v>
      </c>
      <c r="AA89" s="46">
        <f t="shared" si="166"/>
        <v>3212.75</v>
      </c>
      <c r="AB89" s="46" t="e">
        <f t="shared" si="167"/>
        <v>#VALUE!</v>
      </c>
      <c r="AC89" s="48">
        <f t="shared" si="168"/>
        <v>296.68</v>
      </c>
      <c r="AD89" s="48">
        <f t="shared" si="169"/>
        <v>321.86</v>
      </c>
      <c r="AE89" s="47">
        <f t="shared" si="157"/>
        <v>7.8232772012676338E-2</v>
      </c>
      <c r="AF89" s="46" t="e">
        <f t="shared" si="170"/>
        <v>#VALUE!</v>
      </c>
      <c r="AG89" s="46">
        <f t="shared" si="185"/>
        <v>3285.23</v>
      </c>
      <c r="AH89" s="46" t="e">
        <f t="shared" si="171"/>
        <v>#VALUE!</v>
      </c>
      <c r="AI89" s="46" t="e">
        <f t="shared" si="172"/>
        <v>#VALUE!</v>
      </c>
      <c r="AJ89" s="47" t="e">
        <f t="shared" si="173"/>
        <v>#VALUE!</v>
      </c>
      <c r="AL89" s="20" t="s">
        <v>33</v>
      </c>
      <c r="AM89" s="49">
        <f t="shared" si="174"/>
        <v>0</v>
      </c>
      <c r="AN89" s="46">
        <f t="shared" si="175"/>
        <v>3212.75</v>
      </c>
      <c r="AO89" s="46">
        <f t="shared" si="176"/>
        <v>0</v>
      </c>
      <c r="AP89" s="48">
        <f t="shared" si="177"/>
        <v>296.68</v>
      </c>
      <c r="AQ89" s="48">
        <f t="shared" si="178"/>
        <v>321.86</v>
      </c>
      <c r="AR89" s="47">
        <f t="shared" si="158"/>
        <v>7.8232772012676338E-2</v>
      </c>
      <c r="AS89" s="46">
        <f t="shared" si="179"/>
        <v>0</v>
      </c>
      <c r="AT89" s="46">
        <f t="shared" si="186"/>
        <v>3285.23</v>
      </c>
      <c r="AU89" s="46">
        <f t="shared" si="180"/>
        <v>0</v>
      </c>
      <c r="AV89" s="46">
        <f t="shared" si="181"/>
        <v>0</v>
      </c>
      <c r="AW89" s="47" t="e">
        <f t="shared" si="182"/>
        <v>#DIV/0!</v>
      </c>
    </row>
    <row r="90" spans="12:49" x14ac:dyDescent="0.25">
      <c r="L90" s="20" t="s">
        <v>34</v>
      </c>
      <c r="M90" s="46" t="str">
        <f t="shared" si="159"/>
        <v/>
      </c>
      <c r="N90" s="46">
        <f>VLOOKUP(_xlfn.CONCAT(L90,$M$81),'data S&amp;P500'!$AY$2:$BH$73,6,0)</f>
        <v>3280.93</v>
      </c>
      <c r="O90" s="46" t="e">
        <f t="shared" si="160"/>
        <v>#VALUE!</v>
      </c>
      <c r="P90" s="48">
        <f>VLOOKUP(_xlfn.CONCAT(L90,M81),'data S&amp;P500'!$A$2:$J$73,6,0)</f>
        <v>297.60000000000002</v>
      </c>
      <c r="Q90" s="20">
        <f t="shared" si="183"/>
        <v>321.86</v>
      </c>
      <c r="R90" s="47">
        <f t="shared" si="156"/>
        <v>7.5374386379171043E-2</v>
      </c>
      <c r="S90" s="46" t="e">
        <f t="shared" si="161"/>
        <v>#VALUE!</v>
      </c>
      <c r="T90" s="46">
        <f t="shared" si="184"/>
        <v>3285.23</v>
      </c>
      <c r="U90" s="46" t="e">
        <f t="shared" si="162"/>
        <v>#VALUE!</v>
      </c>
      <c r="V90" s="46" t="e">
        <f t="shared" si="163"/>
        <v>#VALUE!</v>
      </c>
      <c r="W90" s="47" t="e">
        <f t="shared" si="164"/>
        <v>#VALUE!</v>
      </c>
      <c r="X90" s="20"/>
      <c r="Y90" s="20" t="s">
        <v>34</v>
      </c>
      <c r="Z90" s="49" t="e">
        <f t="shared" si="165"/>
        <v>#VALUE!</v>
      </c>
      <c r="AA90" s="46">
        <f t="shared" si="166"/>
        <v>3280.93</v>
      </c>
      <c r="AB90" s="46" t="e">
        <f t="shared" si="167"/>
        <v>#VALUE!</v>
      </c>
      <c r="AC90" s="48">
        <f t="shared" si="168"/>
        <v>297.60000000000002</v>
      </c>
      <c r="AD90" s="48">
        <f t="shared" si="169"/>
        <v>321.86</v>
      </c>
      <c r="AE90" s="47">
        <f t="shared" si="157"/>
        <v>7.5374386379171043E-2</v>
      </c>
      <c r="AF90" s="46" t="e">
        <f t="shared" si="170"/>
        <v>#VALUE!</v>
      </c>
      <c r="AG90" s="46">
        <f t="shared" si="185"/>
        <v>3285.23</v>
      </c>
      <c r="AH90" s="46" t="e">
        <f t="shared" si="171"/>
        <v>#VALUE!</v>
      </c>
      <c r="AI90" s="46" t="e">
        <f t="shared" si="172"/>
        <v>#VALUE!</v>
      </c>
      <c r="AJ90" s="47" t="e">
        <f t="shared" si="173"/>
        <v>#VALUE!</v>
      </c>
      <c r="AL90" s="20" t="s">
        <v>34</v>
      </c>
      <c r="AM90" s="49">
        <f t="shared" si="174"/>
        <v>0</v>
      </c>
      <c r="AN90" s="46">
        <f t="shared" si="175"/>
        <v>3280.93</v>
      </c>
      <c r="AO90" s="46">
        <f t="shared" si="176"/>
        <v>0</v>
      </c>
      <c r="AP90" s="48">
        <f t="shared" si="177"/>
        <v>297.60000000000002</v>
      </c>
      <c r="AQ90" s="48">
        <f t="shared" si="178"/>
        <v>321.86</v>
      </c>
      <c r="AR90" s="47">
        <f t="shared" si="158"/>
        <v>7.5374386379171043E-2</v>
      </c>
      <c r="AS90" s="46">
        <f t="shared" si="179"/>
        <v>0</v>
      </c>
      <c r="AT90" s="46">
        <f t="shared" si="186"/>
        <v>3285.23</v>
      </c>
      <c r="AU90" s="46">
        <f t="shared" si="180"/>
        <v>0</v>
      </c>
      <c r="AV90" s="46">
        <f t="shared" si="181"/>
        <v>0</v>
      </c>
      <c r="AW90" s="47" t="e">
        <f t="shared" si="182"/>
        <v>#DIV/0!</v>
      </c>
    </row>
    <row r="91" spans="12:49" x14ac:dyDescent="0.25">
      <c r="L91" s="20" t="s">
        <v>35</v>
      </c>
      <c r="M91" s="46" t="str">
        <f t="shared" si="159"/>
        <v/>
      </c>
      <c r="N91" s="46">
        <f>VLOOKUP(_xlfn.CONCAT(L91,$M$81),'data S&amp;P500'!$AY$2:$BH$73,6,0)</f>
        <v>3442.65</v>
      </c>
      <c r="O91" s="46" t="e">
        <f t="shared" si="160"/>
        <v>#VALUE!</v>
      </c>
      <c r="P91" s="48">
        <f>VLOOKUP(_xlfn.CONCAT(L91,M81),'data S&amp;P500'!$A$2:$J$73,6,0)</f>
        <v>290.57</v>
      </c>
      <c r="Q91" s="20">
        <f t="shared" si="183"/>
        <v>321.86</v>
      </c>
      <c r="R91" s="47">
        <f t="shared" si="156"/>
        <v>9.7216180948238418E-2</v>
      </c>
      <c r="S91" s="46" t="e">
        <f t="shared" si="161"/>
        <v>#VALUE!</v>
      </c>
      <c r="T91" s="46">
        <f t="shared" si="184"/>
        <v>3285.23</v>
      </c>
      <c r="U91" s="46" t="e">
        <f t="shared" si="162"/>
        <v>#VALUE!</v>
      </c>
      <c r="V91" s="46" t="e">
        <f t="shared" si="163"/>
        <v>#VALUE!</v>
      </c>
      <c r="W91" s="47" t="e">
        <f t="shared" si="164"/>
        <v>#VALUE!</v>
      </c>
      <c r="X91" s="20"/>
      <c r="Y91" s="20" t="s">
        <v>35</v>
      </c>
      <c r="Z91" s="49" t="e">
        <f t="shared" si="165"/>
        <v>#VALUE!</v>
      </c>
      <c r="AA91" s="46">
        <f t="shared" si="166"/>
        <v>3442.65</v>
      </c>
      <c r="AB91" s="46" t="e">
        <f t="shared" si="167"/>
        <v>#VALUE!</v>
      </c>
      <c r="AC91" s="48">
        <f t="shared" si="168"/>
        <v>290.57</v>
      </c>
      <c r="AD91" s="48">
        <f t="shared" si="169"/>
        <v>321.86</v>
      </c>
      <c r="AE91" s="47">
        <f t="shared" si="157"/>
        <v>9.7216180948238418E-2</v>
      </c>
      <c r="AF91" s="46" t="e">
        <f t="shared" si="170"/>
        <v>#VALUE!</v>
      </c>
      <c r="AG91" s="46">
        <f t="shared" si="185"/>
        <v>3285.23</v>
      </c>
      <c r="AH91" s="46" t="e">
        <f t="shared" si="171"/>
        <v>#VALUE!</v>
      </c>
      <c r="AI91" s="46" t="e">
        <f t="shared" si="172"/>
        <v>#VALUE!</v>
      </c>
      <c r="AJ91" s="47" t="e">
        <f t="shared" si="173"/>
        <v>#VALUE!</v>
      </c>
      <c r="AL91" s="20" t="s">
        <v>35</v>
      </c>
      <c r="AM91" s="49">
        <f t="shared" si="174"/>
        <v>0</v>
      </c>
      <c r="AN91" s="46">
        <f t="shared" si="175"/>
        <v>3442.65</v>
      </c>
      <c r="AO91" s="46">
        <f t="shared" si="176"/>
        <v>0</v>
      </c>
      <c r="AP91" s="48">
        <f t="shared" si="177"/>
        <v>290.57</v>
      </c>
      <c r="AQ91" s="48">
        <f t="shared" si="178"/>
        <v>321.86</v>
      </c>
      <c r="AR91" s="47">
        <f t="shared" si="158"/>
        <v>9.7216180948238418E-2</v>
      </c>
      <c r="AS91" s="46">
        <f t="shared" si="179"/>
        <v>0</v>
      </c>
      <c r="AT91" s="46">
        <f t="shared" si="186"/>
        <v>3285.23</v>
      </c>
      <c r="AU91" s="46">
        <f t="shared" si="180"/>
        <v>0</v>
      </c>
      <c r="AV91" s="46">
        <f t="shared" si="181"/>
        <v>0</v>
      </c>
      <c r="AW91" s="47" t="e">
        <f t="shared" si="182"/>
        <v>#DIV/0!</v>
      </c>
    </row>
    <row r="92" spans="12:49" x14ac:dyDescent="0.25">
      <c r="L92" s="20" t="s">
        <v>36</v>
      </c>
      <c r="M92" s="46" t="str">
        <f t="shared" si="159"/>
        <v/>
      </c>
      <c r="N92" s="46">
        <f>VLOOKUP(_xlfn.CONCAT(L92,$M$81),'data S&amp;P500'!$AY$2:$BH$73,6,0)</f>
        <v>3480</v>
      </c>
      <c r="O92" s="46" t="e">
        <f t="shared" si="160"/>
        <v>#VALUE!</v>
      </c>
      <c r="P92" s="48">
        <f>VLOOKUP(_xlfn.CONCAT(L92,M81),'data S&amp;P500'!$A$2:$J$73,6,0)</f>
        <v>297.74</v>
      </c>
      <c r="Q92" s="20">
        <f t="shared" si="183"/>
        <v>321.86</v>
      </c>
      <c r="R92" s="47">
        <f t="shared" si="156"/>
        <v>7.4939414652333322E-2</v>
      </c>
      <c r="S92" s="46" t="e">
        <f t="shared" si="161"/>
        <v>#VALUE!</v>
      </c>
      <c r="T92" s="46">
        <f t="shared" si="184"/>
        <v>3285.23</v>
      </c>
      <c r="U92" s="46" t="e">
        <f t="shared" si="162"/>
        <v>#VALUE!</v>
      </c>
      <c r="V92" s="46" t="e">
        <f t="shared" si="163"/>
        <v>#VALUE!</v>
      </c>
      <c r="W92" s="47" t="e">
        <f t="shared" si="164"/>
        <v>#VALUE!</v>
      </c>
      <c r="X92" s="20"/>
      <c r="Y92" s="20" t="s">
        <v>36</v>
      </c>
      <c r="Z92" s="49" t="e">
        <f t="shared" si="165"/>
        <v>#VALUE!</v>
      </c>
      <c r="AA92" s="46">
        <f t="shared" si="166"/>
        <v>3480</v>
      </c>
      <c r="AB92" s="46" t="e">
        <f t="shared" si="167"/>
        <v>#VALUE!</v>
      </c>
      <c r="AC92" s="48">
        <f t="shared" si="168"/>
        <v>297.74</v>
      </c>
      <c r="AD92" s="48">
        <f t="shared" si="169"/>
        <v>321.86</v>
      </c>
      <c r="AE92" s="47">
        <f t="shared" si="157"/>
        <v>7.4939414652333322E-2</v>
      </c>
      <c r="AF92" s="46" t="e">
        <f t="shared" si="170"/>
        <v>#VALUE!</v>
      </c>
      <c r="AG92" s="46">
        <f t="shared" si="185"/>
        <v>3285.23</v>
      </c>
      <c r="AH92" s="46" t="e">
        <f t="shared" si="171"/>
        <v>#VALUE!</v>
      </c>
      <c r="AI92" s="46" t="e">
        <f t="shared" si="172"/>
        <v>#VALUE!</v>
      </c>
      <c r="AJ92" s="47" t="e">
        <f t="shared" si="173"/>
        <v>#VALUE!</v>
      </c>
      <c r="AL92" s="20" t="s">
        <v>36</v>
      </c>
      <c r="AM92" s="49">
        <f t="shared" si="174"/>
        <v>0</v>
      </c>
      <c r="AN92" s="46">
        <f t="shared" si="175"/>
        <v>3480</v>
      </c>
      <c r="AO92" s="46">
        <f t="shared" si="176"/>
        <v>0</v>
      </c>
      <c r="AP92" s="48">
        <f t="shared" si="177"/>
        <v>297.74</v>
      </c>
      <c r="AQ92" s="48">
        <f t="shared" si="178"/>
        <v>321.86</v>
      </c>
      <c r="AR92" s="47">
        <f t="shared" si="158"/>
        <v>7.4939414652333322E-2</v>
      </c>
      <c r="AS92" s="46">
        <f t="shared" si="179"/>
        <v>0</v>
      </c>
      <c r="AT92" s="46">
        <f t="shared" si="186"/>
        <v>3285.23</v>
      </c>
      <c r="AU92" s="46">
        <f t="shared" si="180"/>
        <v>0</v>
      </c>
      <c r="AV92" s="46">
        <f t="shared" si="181"/>
        <v>0</v>
      </c>
      <c r="AW92" s="47" t="e">
        <f t="shared" si="182"/>
        <v>#DIV/0!</v>
      </c>
    </row>
    <row r="93" spans="12:49" x14ac:dyDescent="0.25">
      <c r="L93" s="20" t="s">
        <v>37</v>
      </c>
      <c r="M93" s="46" t="str">
        <f t="shared" si="159"/>
        <v/>
      </c>
      <c r="N93" s="46">
        <f>VLOOKUP(_xlfn.CONCAT(L93,$M$81),'data S&amp;P500'!$AY$2:$BH$73,6,0)</f>
        <v>3380</v>
      </c>
      <c r="O93" s="46" t="e">
        <f t="shared" si="160"/>
        <v>#VALUE!</v>
      </c>
      <c r="P93" s="48">
        <f>VLOOKUP(_xlfn.CONCAT(L93,M81),'data S&amp;P500'!$A$2:$J$73,6,0)</f>
        <v>304.92</v>
      </c>
      <c r="Q93" s="20">
        <f t="shared" si="183"/>
        <v>321.86</v>
      </c>
      <c r="R93" s="47">
        <f t="shared" si="156"/>
        <v>5.2631578947368411E-2</v>
      </c>
      <c r="S93" s="46" t="e">
        <f t="shared" si="161"/>
        <v>#VALUE!</v>
      </c>
      <c r="T93" s="46">
        <f t="shared" si="184"/>
        <v>3285.23</v>
      </c>
      <c r="U93" s="46" t="e">
        <f t="shared" si="162"/>
        <v>#VALUE!</v>
      </c>
      <c r="V93" s="46" t="e">
        <f t="shared" si="163"/>
        <v>#VALUE!</v>
      </c>
      <c r="W93" s="47" t="e">
        <f t="shared" si="164"/>
        <v>#VALUE!</v>
      </c>
      <c r="X93" s="20"/>
      <c r="Y93" s="20" t="s">
        <v>37</v>
      </c>
      <c r="Z93" s="49" t="e">
        <f t="shared" si="165"/>
        <v>#VALUE!</v>
      </c>
      <c r="AA93" s="46">
        <f t="shared" si="166"/>
        <v>3380</v>
      </c>
      <c r="AB93" s="46" t="e">
        <f t="shared" si="167"/>
        <v>#VALUE!</v>
      </c>
      <c r="AC93" s="48">
        <f t="shared" si="168"/>
        <v>304.92</v>
      </c>
      <c r="AD93" s="48">
        <f t="shared" si="169"/>
        <v>321.86</v>
      </c>
      <c r="AE93" s="47">
        <f t="shared" si="157"/>
        <v>5.2631578947368411E-2</v>
      </c>
      <c r="AF93" s="46" t="e">
        <f t="shared" si="170"/>
        <v>#VALUE!</v>
      </c>
      <c r="AG93" s="46">
        <f t="shared" si="185"/>
        <v>3285.23</v>
      </c>
      <c r="AH93" s="46" t="e">
        <f t="shared" si="171"/>
        <v>#VALUE!</v>
      </c>
      <c r="AI93" s="46" t="e">
        <f t="shared" si="172"/>
        <v>#VALUE!</v>
      </c>
      <c r="AJ93" s="47" t="e">
        <f t="shared" si="173"/>
        <v>#VALUE!</v>
      </c>
      <c r="AL93" s="20" t="s">
        <v>37</v>
      </c>
      <c r="AM93" s="49">
        <f t="shared" si="174"/>
        <v>0</v>
      </c>
      <c r="AN93" s="46">
        <f t="shared" si="175"/>
        <v>3380</v>
      </c>
      <c r="AO93" s="46">
        <f t="shared" si="176"/>
        <v>0</v>
      </c>
      <c r="AP93" s="48">
        <f t="shared" si="177"/>
        <v>304.92</v>
      </c>
      <c r="AQ93" s="48">
        <f t="shared" si="178"/>
        <v>321.86</v>
      </c>
      <c r="AR93" s="47">
        <f t="shared" si="158"/>
        <v>5.2631578947368411E-2</v>
      </c>
      <c r="AS93" s="46">
        <f t="shared" si="179"/>
        <v>0</v>
      </c>
      <c r="AT93" s="46">
        <f t="shared" si="186"/>
        <v>3285.23</v>
      </c>
      <c r="AU93" s="46">
        <f t="shared" si="180"/>
        <v>0</v>
      </c>
      <c r="AV93" s="46">
        <f t="shared" si="181"/>
        <v>0</v>
      </c>
      <c r="AW93" s="47" t="e">
        <f t="shared" si="182"/>
        <v>#DIV/0!</v>
      </c>
    </row>
    <row r="94" spans="12:49" x14ac:dyDescent="0.25">
      <c r="L94" s="20" t="s">
        <v>38</v>
      </c>
      <c r="M94" s="46" t="str">
        <f t="shared" si="159"/>
        <v/>
      </c>
      <c r="N94" s="46">
        <f>VLOOKUP(_xlfn.CONCAT(L94,$M$81),'data S&amp;P500'!$AY$2:$BH$73,6,0)</f>
        <v>3518</v>
      </c>
      <c r="O94" s="46" t="e">
        <f t="shared" si="160"/>
        <v>#VALUE!</v>
      </c>
      <c r="P94" s="48">
        <f>VLOOKUP(_xlfn.CONCAT(L94,M81),'data S&amp;P500'!$A$2:$J$73,6,0)</f>
        <v>314.58999999999997</v>
      </c>
      <c r="Q94" s="20">
        <f t="shared" si="183"/>
        <v>321.86</v>
      </c>
      <c r="R94" s="47">
        <f t="shared" si="156"/>
        <v>2.2587460386503569E-2</v>
      </c>
      <c r="S94" s="46" t="e">
        <f t="shared" si="161"/>
        <v>#VALUE!</v>
      </c>
      <c r="T94" s="46">
        <f t="shared" si="184"/>
        <v>3285.23</v>
      </c>
      <c r="U94" s="46" t="e">
        <f t="shared" si="162"/>
        <v>#VALUE!</v>
      </c>
      <c r="V94" s="46" t="e">
        <f t="shared" si="163"/>
        <v>#VALUE!</v>
      </c>
      <c r="W94" s="47" t="e">
        <f t="shared" si="164"/>
        <v>#VALUE!</v>
      </c>
      <c r="X94" s="20"/>
      <c r="Y94" s="20" t="s">
        <v>38</v>
      </c>
      <c r="Z94" s="49" t="e">
        <f t="shared" si="165"/>
        <v>#VALUE!</v>
      </c>
      <c r="AA94" s="46">
        <f t="shared" si="166"/>
        <v>3518</v>
      </c>
      <c r="AB94" s="46" t="e">
        <f t="shared" si="167"/>
        <v>#VALUE!</v>
      </c>
      <c r="AC94" s="48">
        <f t="shared" si="168"/>
        <v>314.58999999999997</v>
      </c>
      <c r="AD94" s="48">
        <f t="shared" si="169"/>
        <v>321.86</v>
      </c>
      <c r="AE94" s="47">
        <f t="shared" si="157"/>
        <v>2.2587460386503569E-2</v>
      </c>
      <c r="AF94" s="46" t="e">
        <f t="shared" si="170"/>
        <v>#VALUE!</v>
      </c>
      <c r="AG94" s="46">
        <f t="shared" si="185"/>
        <v>3285.23</v>
      </c>
      <c r="AH94" s="46" t="e">
        <f t="shared" si="171"/>
        <v>#VALUE!</v>
      </c>
      <c r="AI94" s="46" t="e">
        <f t="shared" si="172"/>
        <v>#VALUE!</v>
      </c>
      <c r="AJ94" s="47" t="e">
        <f t="shared" si="173"/>
        <v>#VALUE!</v>
      </c>
      <c r="AL94" s="20" t="s">
        <v>38</v>
      </c>
      <c r="AM94" s="49">
        <f t="shared" si="174"/>
        <v>0</v>
      </c>
      <c r="AN94" s="46">
        <f t="shared" si="175"/>
        <v>3518</v>
      </c>
      <c r="AO94" s="46">
        <f t="shared" si="176"/>
        <v>0</v>
      </c>
      <c r="AP94" s="48">
        <f t="shared" si="177"/>
        <v>314.58999999999997</v>
      </c>
      <c r="AQ94" s="48">
        <f t="shared" si="178"/>
        <v>321.86</v>
      </c>
      <c r="AR94" s="47">
        <f t="shared" si="158"/>
        <v>2.2587460386503569E-2</v>
      </c>
      <c r="AS94" s="46">
        <f t="shared" si="179"/>
        <v>0</v>
      </c>
      <c r="AT94" s="46">
        <f t="shared" si="186"/>
        <v>3285.23</v>
      </c>
      <c r="AU94" s="46">
        <f t="shared" si="180"/>
        <v>0</v>
      </c>
      <c r="AV94" s="46">
        <f t="shared" si="181"/>
        <v>0</v>
      </c>
      <c r="AW94" s="47" t="e">
        <f t="shared" si="182"/>
        <v>#DIV/0!</v>
      </c>
    </row>
    <row r="95" spans="12:49" x14ac:dyDescent="0.25">
      <c r="L95" s="20"/>
      <c r="M95" s="46">
        <f>SUM(M83:M94)</f>
        <v>0</v>
      </c>
      <c r="N95" s="46"/>
      <c r="O95" s="46"/>
      <c r="P95" s="20"/>
      <c r="Q95" s="20"/>
      <c r="R95" s="47" t="e">
        <f>S95/M95</f>
        <v>#VALUE!</v>
      </c>
      <c r="S95" s="46" t="e">
        <f>SUM(S83:S94)</f>
        <v>#VALUE!</v>
      </c>
      <c r="T95" s="46"/>
      <c r="U95" s="46"/>
      <c r="V95" s="46" t="e">
        <f>SUM(V83:V94)</f>
        <v>#VALUE!</v>
      </c>
      <c r="W95" s="63" t="e">
        <f>V95/M95</f>
        <v>#VALUE!</v>
      </c>
      <c r="X95" s="20"/>
      <c r="Y95" s="20"/>
      <c r="Z95" s="46" t="e">
        <f>SUM(Z83:Z94)</f>
        <v>#VALUE!</v>
      </c>
      <c r="AA95" s="46"/>
      <c r="AB95" s="46"/>
      <c r="AC95" s="20"/>
      <c r="AD95" s="20"/>
      <c r="AE95" s="47" t="e">
        <f>AF95/Z95</f>
        <v>#VALUE!</v>
      </c>
      <c r="AF95" s="46" t="e">
        <f>SUM(AF83:AF94)</f>
        <v>#VALUE!</v>
      </c>
      <c r="AG95" s="46"/>
      <c r="AH95" s="46"/>
      <c r="AI95" s="46" t="e">
        <f>SUM(AI83:AI94)</f>
        <v>#VALUE!</v>
      </c>
      <c r="AJ95" s="63" t="e">
        <f>AI95/Z95</f>
        <v>#VALUE!</v>
      </c>
      <c r="AL95" s="20"/>
      <c r="AM95" s="46">
        <f>SUM(AM83:AM94)</f>
        <v>0</v>
      </c>
      <c r="AN95" s="46"/>
      <c r="AO95" s="46"/>
      <c r="AP95" s="20"/>
      <c r="AQ95" s="20"/>
      <c r="AR95" s="47" t="e">
        <f>AS95/AM95</f>
        <v>#DIV/0!</v>
      </c>
      <c r="AS95" s="46">
        <f>SUM(AS83:AS94)</f>
        <v>0</v>
      </c>
      <c r="AT95" s="46"/>
      <c r="AU95" s="46"/>
      <c r="AV95" s="46">
        <f>SUM(AV83:AV94)</f>
        <v>0</v>
      </c>
      <c r="AW95" s="63" t="e">
        <f>AV95/AM95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Instructivo</vt:lpstr>
      <vt:lpstr>Mis finanzas</vt:lpstr>
      <vt:lpstr>Actividades 2025</vt:lpstr>
      <vt:lpstr>data COLCAP</vt:lpstr>
      <vt:lpstr>data S&amp;P500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Lizcano</dc:creator>
  <cp:lastModifiedBy>Sergio Lizcano</cp:lastModifiedBy>
  <dcterms:created xsi:type="dcterms:W3CDTF">2025-01-09T16:05:21Z</dcterms:created>
  <dcterms:modified xsi:type="dcterms:W3CDTF">2025-01-21T14:36:35Z</dcterms:modified>
</cp:coreProperties>
</file>