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ude Projet Societe" sheetId="1" r:id="rId4"/>
    <sheet state="visible" name="Feuille 1" sheetId="2" r:id="rId5"/>
  </sheets>
  <definedNames/>
  <calcPr/>
  <extLst>
    <ext uri="GoogleSheetsCustomDataVersion2">
      <go:sheetsCustomData xmlns:go="http://customooxmlschemas.google.com/" r:id="rId6" roundtripDataChecksum="lT5tq72fqKbMoX1noRyyVEIZpdf/V6dgb8/GGHaLJc8="/>
    </ext>
  </extLst>
</workbook>
</file>

<file path=xl/sharedStrings.xml><?xml version="1.0" encoding="utf-8"?>
<sst xmlns="http://schemas.openxmlformats.org/spreadsheetml/2006/main" count="77" uniqueCount="36">
  <si>
    <t>ÉTUDE D'UN PROJET EN SOCIÉTÉ</t>
  </si>
  <si>
    <t>Prix d'achat</t>
  </si>
  <si>
    <t xml:space="preserve">Surface </t>
  </si>
  <si>
    <t xml:space="preserve">ETUDE SIMPLIFIÉE PROJET D'ACHAT-REVENTE </t>
  </si>
  <si>
    <t>Dépenses (montants HT)</t>
  </si>
  <si>
    <t xml:space="preserve">Recettes </t>
  </si>
  <si>
    <t>Recette vente</t>
  </si>
  <si>
    <t>Frais de notaire</t>
  </si>
  <si>
    <t xml:space="preserve">Marge brute </t>
  </si>
  <si>
    <t>Prix total</t>
  </si>
  <si>
    <t>Prix de revient total à déduire</t>
  </si>
  <si>
    <t>TVA à déduire</t>
  </si>
  <si>
    <t>Frais</t>
  </si>
  <si>
    <t>Bilan de l'opération</t>
  </si>
  <si>
    <t>Frais de copropriété</t>
  </si>
  <si>
    <t>Marge brute totale avant IS</t>
  </si>
  <si>
    <t xml:space="preserve">Frais d'agence </t>
  </si>
  <si>
    <t xml:space="preserve"> </t>
  </si>
  <si>
    <t>Travaux de rénovation</t>
  </si>
  <si>
    <t>Pourcentage de marge</t>
  </si>
  <si>
    <t xml:space="preserve">Prix de revient </t>
  </si>
  <si>
    <t>Frais bancaires</t>
  </si>
  <si>
    <t>Pourcentage d'apport</t>
  </si>
  <si>
    <t>IS réduit (15%)</t>
  </si>
  <si>
    <t>Montant à financer avec les intérêts</t>
  </si>
  <si>
    <t>IS fort (25%)</t>
  </si>
  <si>
    <t>Frais de dossier 0,5 - 1%</t>
  </si>
  <si>
    <t>Fixe</t>
  </si>
  <si>
    <t>Total IS</t>
  </si>
  <si>
    <t>Frais de gestion annuelle 0,5 - 1%</t>
  </si>
  <si>
    <t>Frais de garantie 1,5%</t>
  </si>
  <si>
    <t>Marge nette après IS</t>
  </si>
  <si>
    <t>Intérêts réels du projet</t>
  </si>
  <si>
    <t>Intérêts calculés sur 24 mois avec Euribor 12 mois</t>
  </si>
  <si>
    <t>Montant total des frais bancaires</t>
  </si>
  <si>
    <t xml:space="preserve">Montant total avec intégration des intérêts sur 24 mois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</si>
</sst>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\ [$€-1]"/>
    <numFmt numFmtId="165" formatCode="#,##0.00\ &quot;€&quot;"/>
    <numFmt numFmtId="166" formatCode="_(* #,##0.00_)\ [$€-1]_);\(#,##0.00\)\ [$€-1]_);_(* &quot;-&quot;??_)\ [$€-1]_);_(@"/>
    <numFmt numFmtId="167" formatCode="0.0"/>
    <numFmt numFmtId="168" formatCode="#,##0.00\ [$€-1]"/>
  </numFmts>
  <fonts count="18">
    <font>
      <sz val="12.0"/>
      <color theme="1"/>
      <name val="Calibri"/>
      <scheme val="minor"/>
    </font>
    <font>
      <sz val="12.0"/>
      <color theme="1"/>
      <name val="Calibri"/>
    </font>
    <font>
      <b/>
      <sz val="22.0"/>
      <color theme="1"/>
      <name val="Montserrat"/>
    </font>
    <font>
      <color theme="1"/>
      <name val="Montserrat"/>
    </font>
    <font/>
    <font>
      <color theme="1"/>
      <name val="Calibri"/>
      <scheme val="minor"/>
    </font>
    <font>
      <sz val="12.0"/>
      <color theme="1"/>
      <name val="Montserrat"/>
    </font>
    <font>
      <b/>
      <sz val="12.0"/>
      <color theme="1"/>
      <name val="Montserrat"/>
    </font>
    <font>
      <b/>
      <color theme="1"/>
      <name val="Montserrat"/>
    </font>
    <font>
      <color theme="1"/>
      <name val="Calibri"/>
    </font>
    <font>
      <b/>
      <sz val="12.0"/>
      <color rgb="FF000000"/>
      <name val="Montserrat"/>
    </font>
    <font>
      <b/>
      <u/>
      <sz val="10.0"/>
      <color rgb="FF000000"/>
      <name val="Montserrat"/>
    </font>
    <font>
      <sz val="10.0"/>
      <color rgb="FF000000"/>
      <name val="Montserrat"/>
    </font>
    <font>
      <b/>
      <sz val="10.0"/>
      <color rgb="FF000000"/>
      <name val="Montserrat"/>
    </font>
    <font>
      <sz val="10.0"/>
      <color theme="1"/>
      <name val="Montserrat"/>
    </font>
    <font>
      <b/>
      <u/>
      <sz val="10.0"/>
      <color rgb="FF000000"/>
      <name val="Montserrat"/>
    </font>
    <font>
      <b/>
      <sz val="10.0"/>
      <color theme="1"/>
      <name val="Montserrat"/>
    </font>
    <font>
      <b/>
      <sz val="14.0"/>
      <color theme="1"/>
      <name val="Montserrat"/>
    </font>
  </fonts>
  <fills count="16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E69138"/>
        <bgColor rgb="FFE69138"/>
      </patternFill>
    </fill>
    <fill>
      <patternFill patternType="solid">
        <fgColor rgb="FF3D85C6"/>
        <bgColor rgb="FF3D85C6"/>
      </patternFill>
    </fill>
    <fill>
      <patternFill patternType="solid">
        <fgColor rgb="FFFFD966"/>
        <bgColor rgb="FFFFD966"/>
      </patternFill>
    </fill>
    <fill>
      <patternFill patternType="solid">
        <fgColor rgb="FF45818E"/>
        <bgColor rgb="FF45818E"/>
      </patternFill>
    </fill>
    <fill>
      <patternFill patternType="solid">
        <fgColor theme="8"/>
        <bgColor theme="8"/>
      </patternFill>
    </fill>
    <fill>
      <patternFill patternType="solid">
        <fgColor rgb="FF38761D"/>
        <bgColor rgb="FF38761D"/>
      </patternFill>
    </fill>
    <fill>
      <patternFill patternType="solid">
        <fgColor rgb="FFFF9900"/>
        <bgColor rgb="FFFF9900"/>
      </patternFill>
    </fill>
  </fills>
  <borders count="5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FFFFFF"/>
      </right>
    </border>
    <border>
      <left style="thin">
        <color rgb="FFFFFFFF"/>
      </lef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/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thick">
        <color rgb="FF000000"/>
      </top>
      <bottom/>
    </border>
    <border>
      <top style="thick">
        <color rgb="FF000000"/>
      </top>
      <bottom style="thin">
        <color rgb="FFFFFFFF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/>
    </border>
    <border>
      <left style="thick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ck">
        <color rgb="FF000000"/>
      </right>
      <top/>
      <bottom/>
    </border>
    <border>
      <left style="thick">
        <color rgb="FF000000"/>
      </left>
      <right/>
      <top/>
    </border>
    <border>
      <left style="medium">
        <color rgb="FF000000"/>
      </left>
      <right style="thick">
        <color rgb="FF000000"/>
      </right>
      <top/>
    </border>
    <border>
      <left style="thick">
        <color rgb="FF000000"/>
      </left>
      <right/>
    </border>
    <border>
      <left style="medium">
        <color rgb="FF000000"/>
      </left>
      <right style="thick">
        <color rgb="FF000000"/>
      </right>
    </border>
    <border>
      <left style="thick">
        <color rgb="FF000000"/>
      </left>
    </border>
    <border>
      <left style="medium">
        <color rgb="FF000000"/>
      </left>
      <right style="medium">
        <color rgb="FF000000"/>
      </right>
      <top/>
    </border>
    <border>
      <left style="thick">
        <color rgb="FF000000"/>
      </left>
      <top/>
      <bottom style="thick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FFFFFF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n">
        <color theme="1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n">
        <color rgb="FFFFFFFF"/>
      </top>
      <bottom style="thin">
        <color rgb="FFFFFFFF"/>
      </bottom>
    </border>
    <border>
      <left style="thick">
        <color rgb="FF000000"/>
      </left>
      <right/>
      <top/>
      <bottom style="thick">
        <color rgb="FF000000"/>
      </bottom>
    </border>
    <border>
      <left style="medium">
        <color rgb="FF000000"/>
      </left>
      <right style="thick">
        <color rgb="FF000000"/>
      </right>
      <top/>
      <bottom style="thick">
        <color rgb="FF000000"/>
      </bottom>
    </border>
    <border>
      <bottom style="thin">
        <color rgb="FFFFFFFF"/>
      </bottom>
    </border>
    <border>
      <left style="thick">
        <color rgb="FF000000"/>
      </left>
      <top style="thin">
        <color rgb="FFFFFFFF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FFFFFF"/>
      </top>
      <bottom style="thick">
        <color rgb="FF000000"/>
      </bottom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right style="thick">
        <color rgb="FF000000"/>
      </right>
    </border>
    <border>
      <left style="thick">
        <color rgb="FF000000"/>
      </left>
      <top style="thin">
        <color theme="1"/>
      </top>
    </border>
    <border>
      <left style="medium">
        <color rgb="FF000000"/>
      </left>
      <right style="medium">
        <color rgb="FF000000"/>
      </right>
    </border>
    <border>
      <right style="thick">
        <color rgb="FF000000"/>
      </right>
      <top style="thin">
        <color theme="1"/>
      </top>
    </border>
    <border>
      <left style="thick">
        <color rgb="FF000000"/>
      </left>
      <bottom style="thin">
        <color theme="1"/>
      </bottom>
    </border>
    <border>
      <left style="thick">
        <color rgb="FF000000"/>
      </left>
      <bottom style="thick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4" numFmtId="0" xfId="0" applyBorder="1" applyFont="1"/>
    <xf borderId="4" fillId="0" fontId="4" numFmtId="0" xfId="0" applyBorder="1" applyFont="1"/>
    <xf borderId="1" fillId="0" fontId="5" numFmtId="0" xfId="0" applyBorder="1" applyFont="1"/>
    <xf borderId="1" fillId="0" fontId="3" numFmtId="0" xfId="0" applyBorder="1" applyFont="1"/>
    <xf borderId="1" fillId="0" fontId="3" numFmtId="164" xfId="0" applyBorder="1" applyFont="1" applyNumberFormat="1"/>
    <xf borderId="2" fillId="0" fontId="5" numFmtId="0" xfId="0" applyBorder="1" applyFont="1"/>
    <xf borderId="5" fillId="0" fontId="6" numFmtId="0" xfId="0" applyBorder="1" applyFont="1"/>
    <xf borderId="6" fillId="2" fontId="7" numFmtId="165" xfId="0" applyBorder="1" applyFill="1" applyFont="1" applyNumberFormat="1"/>
    <xf borderId="7" fillId="0" fontId="3" numFmtId="1" xfId="0" applyBorder="1" applyFont="1" applyNumberFormat="1"/>
    <xf borderId="8" fillId="0" fontId="3" numFmtId="0" xfId="0" applyBorder="1" applyFont="1"/>
    <xf borderId="3" fillId="0" fontId="5" numFmtId="0" xfId="0" applyBorder="1" applyFont="1"/>
    <xf borderId="9" fillId="0" fontId="5" numFmtId="0" xfId="0" applyBorder="1" applyFont="1"/>
    <xf borderId="10" fillId="0" fontId="3" numFmtId="0" xfId="0" applyBorder="1" applyFont="1"/>
    <xf borderId="11" fillId="0" fontId="8" numFmtId="0" xfId="0" applyBorder="1" applyFont="1"/>
    <xf borderId="11" fillId="0" fontId="8" numFmtId="0" xfId="0" applyAlignment="1" applyBorder="1" applyFont="1">
      <alignment horizontal="center"/>
    </xf>
    <xf borderId="12" fillId="0" fontId="5" numFmtId="0" xfId="0" applyBorder="1" applyFont="1"/>
    <xf borderId="1" fillId="0" fontId="9" numFmtId="1" xfId="0" applyBorder="1" applyFont="1" applyNumberFormat="1"/>
    <xf borderId="13" fillId="0" fontId="1" numFmtId="0" xfId="0" applyBorder="1" applyFont="1"/>
    <xf borderId="14" fillId="0" fontId="5" numFmtId="0" xfId="0" applyBorder="1" applyFont="1"/>
    <xf borderId="15" fillId="0" fontId="5" numFmtId="0" xfId="0" applyBorder="1" applyFont="1"/>
    <xf borderId="8" fillId="0" fontId="5" numFmtId="0" xfId="0" applyBorder="1" applyFont="1"/>
    <xf borderId="16" fillId="3" fontId="10" numFmtId="0" xfId="0" applyAlignment="1" applyBorder="1" applyFill="1" applyFont="1">
      <alignment horizontal="center" vertical="center"/>
    </xf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4" fontId="11" numFmtId="0" xfId="0" applyBorder="1" applyFill="1" applyFont="1"/>
    <xf borderId="23" fillId="3" fontId="12" numFmtId="0" xfId="0" applyBorder="1" applyFont="1"/>
    <xf borderId="24" fillId="0" fontId="6" numFmtId="0" xfId="0" applyBorder="1" applyFont="1"/>
    <xf borderId="25" fillId="3" fontId="12" numFmtId="0" xfId="0" applyBorder="1" applyFont="1"/>
    <xf borderId="26" fillId="4" fontId="12" numFmtId="0" xfId="0" applyBorder="1" applyFont="1"/>
    <xf borderId="27" fillId="5" fontId="13" numFmtId="166" xfId="0" applyAlignment="1" applyBorder="1" applyFill="1" applyFont="1" applyNumberFormat="1">
      <alignment horizontal="center"/>
    </xf>
    <xf borderId="3" fillId="0" fontId="3" numFmtId="0" xfId="0" applyBorder="1" applyFont="1"/>
    <xf borderId="28" fillId="6" fontId="13" numFmtId="165" xfId="0" applyAlignment="1" applyBorder="1" applyFill="1" applyFont="1" applyNumberFormat="1">
      <alignment horizontal="center"/>
    </xf>
    <xf borderId="27" fillId="7" fontId="12" numFmtId="166" xfId="0" applyAlignment="1" applyBorder="1" applyFill="1" applyFont="1" applyNumberFormat="1">
      <alignment horizontal="center"/>
    </xf>
    <xf borderId="26" fillId="4" fontId="14" numFmtId="0" xfId="0" applyBorder="1" applyFont="1"/>
    <xf borderId="28" fillId="3" fontId="14" numFmtId="165" xfId="0" applyAlignment="1" applyBorder="1" applyFont="1" applyNumberFormat="1">
      <alignment horizontal="center"/>
    </xf>
    <xf borderId="26" fillId="4" fontId="15" numFmtId="0" xfId="0" applyBorder="1" applyFont="1"/>
    <xf borderId="27" fillId="8" fontId="13" numFmtId="166" xfId="0" applyAlignment="1" applyBorder="1" applyFill="1" applyFont="1" applyNumberFormat="1">
      <alignment horizontal="center"/>
    </xf>
    <xf borderId="3" fillId="0" fontId="3" numFmtId="167" xfId="0" applyBorder="1" applyFont="1" applyNumberFormat="1"/>
    <xf borderId="28" fillId="9" fontId="13" numFmtId="165" xfId="0" applyAlignment="1" applyBorder="1" applyFill="1" applyFont="1" applyNumberFormat="1">
      <alignment horizontal="center"/>
    </xf>
    <xf borderId="27" fillId="3" fontId="12" numFmtId="166" xfId="0" applyAlignment="1" applyBorder="1" applyFont="1" applyNumberFormat="1">
      <alignment horizontal="center"/>
    </xf>
    <xf borderId="28" fillId="3" fontId="12" numFmtId="165" xfId="0" applyAlignment="1" applyBorder="1" applyFont="1" applyNumberFormat="1">
      <alignment horizontal="center"/>
    </xf>
    <xf borderId="27" fillId="8" fontId="12" numFmtId="166" xfId="0" applyAlignment="1" applyBorder="1" applyFont="1" applyNumberFormat="1">
      <alignment horizontal="center"/>
    </xf>
    <xf borderId="29" fillId="10" fontId="7" numFmtId="0" xfId="0" applyAlignment="1" applyBorder="1" applyFill="1" applyFont="1">
      <alignment horizontal="center"/>
    </xf>
    <xf borderId="30" fillId="10" fontId="16" numFmtId="165" xfId="0" applyAlignment="1" applyBorder="1" applyFont="1" applyNumberFormat="1">
      <alignment horizontal="center"/>
    </xf>
    <xf borderId="1" fillId="0" fontId="1" numFmtId="165" xfId="0" applyAlignment="1" applyBorder="1" applyFont="1" applyNumberFormat="1">
      <alignment horizontal="right"/>
    </xf>
    <xf borderId="3" fillId="0" fontId="6" numFmtId="166" xfId="0" applyBorder="1" applyFont="1" applyNumberFormat="1"/>
    <xf borderId="31" fillId="0" fontId="4" numFmtId="0" xfId="0" applyBorder="1" applyFont="1"/>
    <xf borderId="32" fillId="0" fontId="4" numFmtId="0" xfId="0" applyBorder="1" applyFont="1"/>
    <xf borderId="33" fillId="4" fontId="6" numFmtId="0" xfId="0" applyBorder="1" applyFont="1"/>
    <xf borderId="32" fillId="4" fontId="14" numFmtId="165" xfId="0" applyAlignment="1" applyBorder="1" applyFont="1" applyNumberFormat="1">
      <alignment horizontal="center"/>
    </xf>
    <xf borderId="1" fillId="0" fontId="1" numFmtId="0" xfId="0" applyAlignment="1" applyBorder="1" applyFont="1">
      <alignment horizontal="right"/>
    </xf>
    <xf borderId="3" fillId="0" fontId="3" numFmtId="1" xfId="0" applyBorder="1" applyFont="1" applyNumberFormat="1"/>
    <xf borderId="30" fillId="10" fontId="16" numFmtId="10" xfId="0" applyAlignment="1" applyBorder="1" applyFont="1" applyNumberFormat="1">
      <alignment horizontal="center"/>
    </xf>
    <xf borderId="27" fillId="11" fontId="13" numFmtId="166" xfId="0" applyAlignment="1" applyBorder="1" applyFill="1" applyFont="1" applyNumberFormat="1">
      <alignment horizontal="center"/>
    </xf>
    <xf borderId="32" fillId="4" fontId="14" numFmtId="10" xfId="0" applyAlignment="1" applyBorder="1" applyFont="1" applyNumberFormat="1">
      <alignment horizontal="center"/>
    </xf>
    <xf borderId="27" fillId="11" fontId="12" numFmtId="165" xfId="0" applyAlignment="1" applyBorder="1" applyFont="1" applyNumberFormat="1">
      <alignment horizontal="center"/>
    </xf>
    <xf borderId="26" fillId="10" fontId="7" numFmtId="0" xfId="0" applyAlignment="1" applyBorder="1" applyFont="1">
      <alignment horizontal="center"/>
    </xf>
    <xf borderId="29" fillId="4" fontId="12" numFmtId="0" xfId="0" applyBorder="1" applyFont="1"/>
    <xf borderId="34" fillId="11" fontId="12" numFmtId="165" xfId="0" applyAlignment="1" applyBorder="1" applyFont="1" applyNumberFormat="1">
      <alignment horizontal="center"/>
    </xf>
    <xf borderId="3" fillId="0" fontId="6" numFmtId="0" xfId="0" applyBorder="1" applyFont="1"/>
    <xf borderId="29" fillId="10" fontId="7" numFmtId="9" xfId="0" applyAlignment="1" applyBorder="1" applyFont="1" applyNumberFormat="1">
      <alignment horizontal="center"/>
    </xf>
    <xf borderId="35" fillId="4" fontId="12" numFmtId="0" xfId="0" applyBorder="1" applyFont="1"/>
    <xf borderId="36" fillId="11" fontId="12" numFmtId="165" xfId="0" applyAlignment="1" applyBorder="1" applyFont="1" applyNumberFormat="1">
      <alignment horizontal="center"/>
    </xf>
    <xf borderId="33" fillId="10" fontId="7" numFmtId="9" xfId="0" applyAlignment="1" applyBorder="1" applyFont="1" applyNumberFormat="1">
      <alignment horizontal="center"/>
    </xf>
    <xf borderId="32" fillId="10" fontId="16" numFmtId="165" xfId="0" applyAlignment="1" applyBorder="1" applyFont="1" applyNumberFormat="1">
      <alignment horizontal="center"/>
    </xf>
    <xf borderId="0" fillId="0" fontId="3" numFmtId="0" xfId="0" applyFont="1"/>
    <xf borderId="0" fillId="0" fontId="14" numFmtId="0" xfId="0" applyAlignment="1" applyFont="1">
      <alignment horizontal="center"/>
    </xf>
    <xf borderId="33" fillId="4" fontId="3" numFmtId="0" xfId="0" applyBorder="1" applyFont="1"/>
    <xf borderId="32" fillId="0" fontId="3" numFmtId="0" xfId="0" applyBorder="1" applyFont="1"/>
    <xf borderId="37" fillId="4" fontId="17" numFmtId="0" xfId="0" applyBorder="1" applyFont="1"/>
    <xf borderId="38" fillId="0" fontId="14" numFmtId="0" xfId="0" applyAlignment="1" applyBorder="1" applyFont="1">
      <alignment horizontal="center"/>
    </xf>
    <xf borderId="39" fillId="0" fontId="6" numFmtId="0" xfId="0" applyBorder="1" applyFont="1"/>
    <xf borderId="26" fillId="4" fontId="6" numFmtId="0" xfId="0" applyBorder="1" applyFont="1"/>
    <xf borderId="40" fillId="4" fontId="6" numFmtId="0" xfId="0" applyBorder="1" applyFont="1"/>
    <xf borderId="41" fillId="12" fontId="14" numFmtId="165" xfId="0" applyAlignment="1" applyBorder="1" applyFill="1" applyFont="1" applyNumberFormat="1">
      <alignment horizontal="center"/>
    </xf>
    <xf borderId="1" fillId="0" fontId="1" numFmtId="165" xfId="0" applyBorder="1" applyFont="1" applyNumberFormat="1"/>
    <xf borderId="42" fillId="4" fontId="6" numFmtId="0" xfId="0" applyBorder="1" applyFont="1"/>
    <xf borderId="41" fillId="0" fontId="14" numFmtId="165" xfId="0" applyAlignment="1" applyBorder="1" applyFont="1" applyNumberFormat="1">
      <alignment horizontal="center"/>
    </xf>
    <xf borderId="39" fillId="0" fontId="6" numFmtId="0" xfId="0" applyAlignment="1" applyBorder="1" applyFont="1">
      <alignment horizontal="center"/>
    </xf>
    <xf borderId="28" fillId="13" fontId="16" numFmtId="165" xfId="0" applyAlignment="1" applyBorder="1" applyFill="1" applyFont="1" applyNumberFormat="1">
      <alignment horizontal="center"/>
    </xf>
    <xf borderId="28" fillId="3" fontId="14" numFmtId="10" xfId="0" applyAlignment="1" applyBorder="1" applyFont="1" applyNumberFormat="1">
      <alignment horizontal="center"/>
    </xf>
    <xf borderId="28" fillId="14" fontId="16" numFmtId="165" xfId="0" applyAlignment="1" applyBorder="1" applyFill="1" applyFont="1" applyNumberFormat="1">
      <alignment horizontal="center"/>
    </xf>
    <xf borderId="43" fillId="4" fontId="6" numFmtId="0" xfId="0" applyBorder="1" applyFont="1"/>
    <xf borderId="44" fillId="14" fontId="16" numFmtId="10" xfId="0" applyAlignment="1" applyBorder="1" applyFont="1" applyNumberFormat="1">
      <alignment horizontal="center"/>
    </xf>
    <xf borderId="39" fillId="0" fontId="6" numFmtId="10" xfId="0" applyAlignment="1" applyBorder="1" applyFont="1" applyNumberFormat="1">
      <alignment horizontal="center"/>
    </xf>
    <xf borderId="45" fillId="0" fontId="3" numFmtId="0" xfId="0" applyBorder="1" applyFont="1"/>
    <xf borderId="45" fillId="0" fontId="6" numFmtId="165" xfId="0" applyBorder="1" applyFont="1" applyNumberFormat="1"/>
    <xf borderId="42" fillId="4" fontId="7" numFmtId="0" xfId="0" applyBorder="1" applyFont="1"/>
    <xf borderId="41" fillId="15" fontId="14" numFmtId="165" xfId="0" applyAlignment="1" applyBorder="1" applyFill="1" applyFont="1" applyNumberFormat="1">
      <alignment horizontal="center"/>
    </xf>
    <xf borderId="3" fillId="0" fontId="6" numFmtId="165" xfId="0" applyBorder="1" applyFont="1" applyNumberFormat="1"/>
    <xf borderId="46" fillId="4" fontId="6" numFmtId="0" xfId="0" applyBorder="1" applyFont="1"/>
    <xf borderId="47" fillId="0" fontId="14" numFmtId="165" xfId="0" applyAlignment="1" applyBorder="1" applyFont="1" applyNumberFormat="1">
      <alignment horizontal="center"/>
    </xf>
    <xf borderId="48" fillId="0" fontId="6" numFmtId="0" xfId="0" applyBorder="1" applyFont="1"/>
    <xf borderId="12" fillId="0" fontId="3" numFmtId="0" xfId="0" applyBorder="1" applyFont="1"/>
    <xf borderId="12" fillId="0" fontId="6" numFmtId="165" xfId="0" applyBorder="1" applyFont="1" applyNumberFormat="1"/>
    <xf borderId="1" fillId="0" fontId="6" numFmtId="165" xfId="0" applyBorder="1" applyFont="1" applyNumberFormat="1"/>
    <xf borderId="1" fillId="0" fontId="9" numFmtId="168" xfId="0" applyBorder="1" applyFont="1" applyNumberFormat="1"/>
    <xf borderId="0" fillId="0" fontId="3" numFmtId="1" xfId="0" applyFont="1" applyNumberFormat="1"/>
    <xf borderId="0" fillId="0" fontId="1" numFmtId="0" xfId="0" applyFont="1"/>
    <xf borderId="49" fillId="0" fontId="6" numFmtId="0" xfId="0" applyBorder="1" applyFont="1"/>
    <xf borderId="0" fillId="0" fontId="3" numFmtId="167" xfId="0" applyFont="1" applyNumberFormat="1"/>
    <xf borderId="0" fillId="0" fontId="6" numFmtId="166" xfId="0" applyFont="1" applyNumberFormat="1"/>
    <xf borderId="0" fillId="0" fontId="6" numFmtId="0" xfId="0" applyFont="1"/>
    <xf borderId="50" fillId="0" fontId="14" numFmtId="0" xfId="0" applyAlignment="1" applyBorder="1" applyFont="1">
      <alignment horizontal="center"/>
    </xf>
    <xf borderId="51" fillId="0" fontId="6" numFmtId="0" xfId="0" applyBorder="1" applyFont="1"/>
    <xf borderId="52" fillId="4" fontId="6" numFmtId="0" xfId="0" applyBorder="1" applyFont="1"/>
    <xf borderId="53" fillId="12" fontId="14" numFmtId="165" xfId="0" applyAlignment="1" applyBorder="1" applyFont="1" applyNumberFormat="1">
      <alignment horizontal="center"/>
    </xf>
    <xf borderId="54" fillId="0" fontId="6" numFmtId="0" xfId="0" applyBorder="1" applyFont="1"/>
    <xf borderId="53" fillId="0" fontId="14" numFmtId="165" xfId="0" applyAlignment="1" applyBorder="1" applyFont="1" applyNumberFormat="1">
      <alignment horizontal="center"/>
    </xf>
    <xf borderId="51" fillId="0" fontId="6" numFmtId="0" xfId="0" applyAlignment="1" applyBorder="1" applyFont="1">
      <alignment horizontal="center"/>
    </xf>
    <xf borderId="51" fillId="0" fontId="6" numFmtId="10" xfId="0" applyAlignment="1" applyBorder="1" applyFont="1" applyNumberFormat="1">
      <alignment horizontal="center"/>
    </xf>
    <xf borderId="0" fillId="0" fontId="6" numFmtId="165" xfId="0" applyFont="1" applyNumberFormat="1"/>
    <xf borderId="55" fillId="4" fontId="7" numFmtId="0" xfId="0" applyBorder="1" applyFont="1"/>
    <xf borderId="27" fillId="15" fontId="14" numFmtId="165" xfId="0" applyAlignment="1" applyBorder="1" applyFont="1" applyNumberFormat="1">
      <alignment horizontal="center"/>
    </xf>
    <xf borderId="56" fillId="4" fontId="6" numFmtId="0" xfId="0" applyBorder="1" applyFont="1"/>
    <xf borderId="57" fillId="0" fontId="14" numFmtId="165" xfId="0" applyAlignment="1" applyBorder="1" applyFont="1" applyNumberFormat="1">
      <alignment horizontal="center"/>
    </xf>
    <xf borderId="58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1114425" cy="2857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44"/>
    <col customWidth="1" min="2" max="2" width="61.22"/>
    <col customWidth="1" min="3" max="3" width="13.0"/>
    <col customWidth="1" min="4" max="4" width="10.44"/>
    <col customWidth="1" min="5" max="5" width="26.67"/>
    <col customWidth="1" min="6" max="6" width="12.67"/>
    <col customWidth="1" min="7" max="7" width="14.56"/>
    <col customWidth="1" min="8" max="8" width="10.44"/>
    <col customWidth="1" min="9" max="9" width="14.78"/>
    <col customWidth="1" min="10" max="10" width="11.44"/>
    <col customWidth="1" min="11" max="11" width="10.44"/>
    <col customWidth="1" min="12" max="12" width="23.11"/>
    <col customWidth="1" min="13" max="13" width="12.67"/>
    <col customWidth="1" min="14" max="14" width="11.67"/>
    <col customWidth="1" min="15" max="15" width="10.44"/>
  </cols>
  <sheetData>
    <row r="1" ht="101.25" customHeight="1">
      <c r="A1" s="1"/>
      <c r="B1" s="2" t="s">
        <v>0</v>
      </c>
      <c r="C1" s="3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6"/>
      <c r="B2" s="7"/>
      <c r="C2" s="7"/>
      <c r="D2" s="6"/>
      <c r="E2" s="6"/>
      <c r="F2" s="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6"/>
      <c r="B3" s="7"/>
      <c r="C3" s="8"/>
      <c r="D3" s="6"/>
      <c r="E3" s="6"/>
      <c r="F3" s="6"/>
      <c r="G3" s="6"/>
      <c r="H3" s="9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6"/>
      <c r="B4" s="10" t="s">
        <v>1</v>
      </c>
      <c r="C4" s="11">
        <v>140000.0</v>
      </c>
      <c r="D4" s="12"/>
      <c r="E4" s="13"/>
      <c r="F4" s="1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6"/>
      <c r="B5" s="15"/>
      <c r="C5" s="16"/>
      <c r="D5" s="17" t="s">
        <v>2</v>
      </c>
      <c r="E5" s="18">
        <v>100.0</v>
      </c>
      <c r="F5" s="19"/>
      <c r="G5" s="6"/>
      <c r="H5" s="6"/>
      <c r="I5" s="6"/>
      <c r="J5" s="2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6"/>
      <c r="B6" s="21"/>
      <c r="C6" s="22"/>
      <c r="D6" s="23"/>
      <c r="E6" s="23"/>
      <c r="F6" s="2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6"/>
      <c r="B7" s="25" t="s">
        <v>3</v>
      </c>
      <c r="C7" s="26"/>
      <c r="D7" s="26"/>
      <c r="E7" s="26"/>
      <c r="F7" s="2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6"/>
      <c r="B8" s="28"/>
      <c r="C8" s="29"/>
      <c r="D8" s="29"/>
      <c r="E8" s="29"/>
      <c r="F8" s="30"/>
      <c r="G8" s="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6"/>
      <c r="B9" s="31" t="s">
        <v>4</v>
      </c>
      <c r="C9" s="32"/>
      <c r="D9" s="33"/>
      <c r="E9" s="31" t="s">
        <v>5</v>
      </c>
      <c r="F9" s="3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6"/>
      <c r="B10" s="35" t="s">
        <v>1</v>
      </c>
      <c r="C10" s="36">
        <f>C4</f>
        <v>140000</v>
      </c>
      <c r="D10" s="37"/>
      <c r="E10" s="35" t="s">
        <v>6</v>
      </c>
      <c r="F10" s="38">
        <v>220000.0</v>
      </c>
      <c r="G10" s="20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6"/>
      <c r="B11" s="35" t="s">
        <v>7</v>
      </c>
      <c r="C11" s="39">
        <f>C10*0.025</f>
        <v>3500</v>
      </c>
      <c r="D11" s="37"/>
      <c r="E11" s="40" t="s">
        <v>8</v>
      </c>
      <c r="F11" s="41">
        <f>F10-C10*1.025</f>
        <v>76500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6"/>
      <c r="B12" s="42" t="s">
        <v>9</v>
      </c>
      <c r="C12" s="43">
        <f>C10+C11</f>
        <v>143500</v>
      </c>
      <c r="D12" s="44">
        <f>C12/E5</f>
        <v>1435</v>
      </c>
      <c r="E12" s="35" t="s">
        <v>10</v>
      </c>
      <c r="F12" s="45">
        <f>C20+C21+C22+C23</f>
        <v>192827.5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6"/>
      <c r="B13" s="42"/>
      <c r="C13" s="46"/>
      <c r="D13" s="37"/>
      <c r="E13" s="35" t="s">
        <v>11</v>
      </c>
      <c r="F13" s="4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6"/>
      <c r="B14" s="42" t="s">
        <v>12</v>
      </c>
      <c r="C14" s="46"/>
      <c r="D14" s="37"/>
      <c r="E14" s="42" t="s">
        <v>13</v>
      </c>
      <c r="F14" s="4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6"/>
      <c r="B15" s="35" t="s">
        <v>14</v>
      </c>
      <c r="C15" s="48">
        <v>0.0</v>
      </c>
      <c r="D15" s="37"/>
      <c r="E15" s="49" t="s">
        <v>15</v>
      </c>
      <c r="F15" s="50">
        <f>F10-F12-F1</f>
        <v>27172.5</v>
      </c>
      <c r="G15" s="5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6"/>
      <c r="B16" s="35" t="s">
        <v>16</v>
      </c>
      <c r="C16" s="48">
        <v>0.0</v>
      </c>
      <c r="D16" s="52"/>
      <c r="E16" s="53"/>
      <c r="F16" s="54"/>
      <c r="G16" s="5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35" t="s">
        <v>17</v>
      </c>
      <c r="C17" s="48">
        <v>0.0</v>
      </c>
      <c r="D17" s="37"/>
      <c r="E17" s="55"/>
      <c r="F17" s="56"/>
      <c r="G17" s="5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35" t="s">
        <v>18</v>
      </c>
      <c r="C18" s="48">
        <v>40000.0</v>
      </c>
      <c r="D18" s="58"/>
      <c r="E18" s="49" t="s">
        <v>19</v>
      </c>
      <c r="F18" s="59">
        <f>F15/F12</f>
        <v>0.1409161038</v>
      </c>
      <c r="G18" s="5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42"/>
      <c r="C19" s="46"/>
      <c r="D19" s="37"/>
      <c r="E19" s="53"/>
      <c r="F19" s="54"/>
      <c r="G19" s="5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35" t="s">
        <v>20</v>
      </c>
      <c r="C20" s="60">
        <f>SUM(C12:C18)</f>
        <v>183500</v>
      </c>
      <c r="D20" s="44">
        <f>C20/E5</f>
        <v>1835</v>
      </c>
      <c r="E20" s="55"/>
      <c r="F20" s="61"/>
      <c r="G20" s="5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35" t="s">
        <v>21</v>
      </c>
      <c r="C21" s="62">
        <f>C32</f>
        <v>9327.5</v>
      </c>
      <c r="D21" s="37"/>
      <c r="E21" s="63" t="s">
        <v>22</v>
      </c>
      <c r="F21" s="50">
        <v>40000.0</v>
      </c>
      <c r="G21" s="5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4"/>
      <c r="C22" s="65"/>
      <c r="D22" s="66"/>
      <c r="E22" s="67">
        <v>0.3</v>
      </c>
      <c r="F22" s="54"/>
      <c r="G22" s="51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8"/>
      <c r="C23" s="69"/>
      <c r="D23" s="66"/>
      <c r="E23" s="70"/>
      <c r="F23" s="71"/>
      <c r="G23" s="5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72"/>
      <c r="C24" s="73"/>
      <c r="D24" s="37"/>
      <c r="E24" s="74"/>
      <c r="F24" s="7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9.5" customHeight="1">
      <c r="A25" s="6"/>
      <c r="B25" s="76" t="s">
        <v>21</v>
      </c>
      <c r="C25" s="77"/>
      <c r="D25" s="78"/>
      <c r="E25" s="79" t="s">
        <v>23</v>
      </c>
      <c r="F25" s="41">
        <f>IF(F15&lt;0,0,IF(F15&lt;42500,F15*0.15,6375))</f>
        <v>4075.875</v>
      </c>
      <c r="G25" s="5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80" t="s">
        <v>24</v>
      </c>
      <c r="C26" s="81">
        <f>C20-F21</f>
        <v>143500</v>
      </c>
      <c r="D26" s="78"/>
      <c r="E26" s="79" t="s">
        <v>25</v>
      </c>
      <c r="F26" s="41">
        <f>IF(F15-42500&lt;0,0,(F15-42500)*0.25)</f>
        <v>0</v>
      </c>
      <c r="G26" s="8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83" t="s">
        <v>26</v>
      </c>
      <c r="C27" s="84">
        <f>C26*0.01</f>
        <v>1435</v>
      </c>
      <c r="D27" s="85" t="s">
        <v>27</v>
      </c>
      <c r="E27" s="79" t="s">
        <v>28</v>
      </c>
      <c r="F27" s="86">
        <f>F25+F26</f>
        <v>4075.875</v>
      </c>
      <c r="G27" s="8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83" t="s">
        <v>29</v>
      </c>
      <c r="C28" s="84">
        <f>C26*0.01*(D28/12)</f>
        <v>717.5</v>
      </c>
      <c r="D28" s="85">
        <v>6.0</v>
      </c>
      <c r="E28" s="79"/>
      <c r="F28" s="87"/>
      <c r="G28" s="82"/>
      <c r="H28" s="82"/>
      <c r="I28" s="6"/>
      <c r="J28" s="6"/>
      <c r="K28" s="6"/>
      <c r="L28" s="6"/>
      <c r="M28" s="6"/>
      <c r="N28" s="6"/>
      <c r="O28" s="82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83" t="s">
        <v>30</v>
      </c>
      <c r="C29" s="84">
        <f>C26*0.015</f>
        <v>2152.5</v>
      </c>
      <c r="D29" s="85" t="s">
        <v>27</v>
      </c>
      <c r="E29" s="79" t="s">
        <v>31</v>
      </c>
      <c r="F29" s="88">
        <f>F15-F27</f>
        <v>23096.625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83" t="s">
        <v>32</v>
      </c>
      <c r="C30" s="84">
        <f>(C31/24)*D30</f>
        <v>5022.5</v>
      </c>
      <c r="D30" s="85">
        <v>6.0</v>
      </c>
      <c r="E30" s="89"/>
      <c r="F30" s="90">
        <f>F29/F12</f>
        <v>0.1197786882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83" t="s">
        <v>33</v>
      </c>
      <c r="C31" s="84">
        <f>C26*D31*2</f>
        <v>20090</v>
      </c>
      <c r="D31" s="91">
        <v>0.07</v>
      </c>
      <c r="E31" s="92"/>
      <c r="F31" s="93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94" t="s">
        <v>34</v>
      </c>
      <c r="C32" s="95">
        <f>SUM(C27:C30)</f>
        <v>9327.5</v>
      </c>
      <c r="D32" s="78"/>
      <c r="E32" s="37"/>
      <c r="F32" s="9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97" t="s">
        <v>35</v>
      </c>
      <c r="C33" s="98">
        <f>SUM(C27:C31)</f>
        <v>29417.5</v>
      </c>
      <c r="D33" s="99"/>
      <c r="E33" s="100"/>
      <c r="F33" s="101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7"/>
      <c r="C34" s="7"/>
      <c r="D34" s="7"/>
      <c r="E34" s="7"/>
      <c r="F34" s="102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103"/>
      <c r="J35" s="103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103"/>
      <c r="J36" s="103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103"/>
      <c r="J37" s="103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103"/>
      <c r="J38" s="103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103"/>
      <c r="J39" s="103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103"/>
      <c r="J40" s="103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103"/>
      <c r="J41" s="103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103"/>
      <c r="J42" s="103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103"/>
      <c r="J43" s="103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8">
    <mergeCell ref="C1:F1"/>
    <mergeCell ref="H3:I3"/>
    <mergeCell ref="B7:F8"/>
    <mergeCell ref="E15:E16"/>
    <mergeCell ref="F15:F16"/>
    <mergeCell ref="E18:E19"/>
    <mergeCell ref="F18:F19"/>
    <mergeCell ref="F21:F2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25">
      <c r="G25" s="10" t="s">
        <v>1</v>
      </c>
      <c r="H25" s="11">
        <v>140000.0</v>
      </c>
      <c r="I25" s="104"/>
      <c r="J25" s="72"/>
    </row>
    <row r="26">
      <c r="H26" s="72"/>
      <c r="I26" s="17" t="s">
        <v>2</v>
      </c>
      <c r="J26" s="18">
        <v>100.0</v>
      </c>
    </row>
    <row r="27">
      <c r="G27" s="105"/>
    </row>
    <row r="28">
      <c r="G28" s="25" t="s">
        <v>3</v>
      </c>
      <c r="H28" s="26"/>
      <c r="I28" s="26"/>
      <c r="J28" s="26"/>
      <c r="K28" s="27"/>
    </row>
    <row r="29">
      <c r="G29" s="28"/>
      <c r="H29" s="29"/>
      <c r="I29" s="29"/>
      <c r="J29" s="29"/>
      <c r="K29" s="30"/>
    </row>
    <row r="30">
      <c r="G30" s="31" t="s">
        <v>4</v>
      </c>
      <c r="H30" s="32"/>
      <c r="I30" s="106"/>
      <c r="J30" s="31" t="s">
        <v>5</v>
      </c>
      <c r="K30" s="34"/>
    </row>
    <row r="31">
      <c r="G31" s="35" t="s">
        <v>1</v>
      </c>
      <c r="H31" s="36">
        <f>H25</f>
        <v>140000</v>
      </c>
      <c r="I31" s="72"/>
      <c r="J31" s="35" t="s">
        <v>6</v>
      </c>
      <c r="K31" s="38">
        <v>220000.0</v>
      </c>
    </row>
    <row r="32">
      <c r="G32" s="35" t="s">
        <v>7</v>
      </c>
      <c r="H32" s="39">
        <f>H31*0.025</f>
        <v>3500</v>
      </c>
      <c r="I32" s="72"/>
      <c r="J32" s="40" t="s">
        <v>8</v>
      </c>
      <c r="K32" s="41">
        <f>K31-H31*1.025</f>
        <v>76500</v>
      </c>
    </row>
    <row r="33">
      <c r="G33" s="42" t="s">
        <v>9</v>
      </c>
      <c r="H33" s="43">
        <f>H31+H32</f>
        <v>143500</v>
      </c>
      <c r="I33" s="107">
        <f>H33/J26</f>
        <v>1435</v>
      </c>
      <c r="J33" s="35" t="s">
        <v>10</v>
      </c>
      <c r="K33" s="45">
        <f>H41+H42+H43+H44</f>
        <v>192827.5</v>
      </c>
    </row>
    <row r="34">
      <c r="G34" s="42"/>
      <c r="H34" s="46"/>
      <c r="I34" s="72"/>
      <c r="J34" s="35" t="s">
        <v>11</v>
      </c>
      <c r="K34" s="47"/>
    </row>
    <row r="35">
      <c r="G35" s="42" t="s">
        <v>12</v>
      </c>
      <c r="H35" s="46"/>
      <c r="I35" s="72"/>
      <c r="J35" s="42" t="s">
        <v>13</v>
      </c>
      <c r="K35" s="47"/>
    </row>
    <row r="36">
      <c r="G36" s="35" t="s">
        <v>14</v>
      </c>
      <c r="H36" s="48">
        <v>0.0</v>
      </c>
      <c r="I36" s="72"/>
      <c r="J36" s="49" t="s">
        <v>15</v>
      </c>
      <c r="K36" s="50">
        <f>K31-K33-K22</f>
        <v>27172.5</v>
      </c>
    </row>
    <row r="37">
      <c r="G37" s="35" t="s">
        <v>16</v>
      </c>
      <c r="H37" s="48">
        <v>0.0</v>
      </c>
      <c r="I37" s="108"/>
      <c r="J37" s="53"/>
      <c r="K37" s="54"/>
    </row>
    <row r="38">
      <c r="G38" s="35" t="s">
        <v>17</v>
      </c>
      <c r="H38" s="48">
        <v>0.0</v>
      </c>
      <c r="I38" s="72"/>
      <c r="J38" s="55"/>
      <c r="K38" s="56"/>
    </row>
    <row r="39">
      <c r="G39" s="35" t="s">
        <v>18</v>
      </c>
      <c r="H39" s="48">
        <v>40000.0</v>
      </c>
      <c r="I39" s="104"/>
      <c r="J39" s="49" t="s">
        <v>19</v>
      </c>
      <c r="K39" s="59">
        <f>K36/K33</f>
        <v>0.1409161038</v>
      </c>
    </row>
    <row r="40">
      <c r="G40" s="42"/>
      <c r="H40" s="46"/>
      <c r="I40" s="72"/>
      <c r="J40" s="53"/>
      <c r="K40" s="54"/>
    </row>
    <row r="41">
      <c r="G41" s="35" t="s">
        <v>20</v>
      </c>
      <c r="H41" s="60">
        <f>SUM(H33:H39)</f>
        <v>183500</v>
      </c>
      <c r="I41" s="107">
        <f>H41/J26</f>
        <v>1835</v>
      </c>
      <c r="J41" s="55"/>
      <c r="K41" s="61"/>
    </row>
    <row r="42">
      <c r="G42" s="35" t="s">
        <v>21</v>
      </c>
      <c r="H42" s="62">
        <f>H53</f>
        <v>9327.5</v>
      </c>
      <c r="I42" s="72"/>
      <c r="J42" s="63" t="s">
        <v>22</v>
      </c>
      <c r="K42" s="50">
        <v>40000.0</v>
      </c>
    </row>
    <row r="43">
      <c r="G43" s="64"/>
      <c r="H43" s="65"/>
      <c r="I43" s="109"/>
      <c r="J43" s="67">
        <v>0.3</v>
      </c>
      <c r="K43" s="54"/>
    </row>
    <row r="44">
      <c r="G44" s="68"/>
      <c r="H44" s="69"/>
      <c r="I44" s="109"/>
      <c r="J44" s="70"/>
      <c r="K44" s="71"/>
    </row>
    <row r="45">
      <c r="G45" s="72"/>
      <c r="H45" s="73"/>
      <c r="I45" s="72"/>
      <c r="J45" s="74"/>
      <c r="K45" s="75"/>
    </row>
    <row r="46">
      <c r="G46" s="76" t="s">
        <v>21</v>
      </c>
      <c r="H46" s="110"/>
      <c r="I46" s="111"/>
      <c r="J46" s="79" t="s">
        <v>23</v>
      </c>
      <c r="K46" s="41">
        <f>IF(K36&lt;0,0,IF(K36&lt;42500,K36*0.15,6375))</f>
        <v>4075.875</v>
      </c>
    </row>
    <row r="47">
      <c r="G47" s="112" t="s">
        <v>24</v>
      </c>
      <c r="H47" s="113">
        <f>H41-K42</f>
        <v>143500</v>
      </c>
      <c r="I47" s="114"/>
      <c r="J47" s="79" t="s">
        <v>25</v>
      </c>
      <c r="K47" s="41">
        <f>IF(K36-42500&lt;0,0,(K36-42500)*0.25)</f>
        <v>0</v>
      </c>
    </row>
    <row r="48">
      <c r="G48" s="55" t="s">
        <v>26</v>
      </c>
      <c r="H48" s="115">
        <f>H47*0.01</f>
        <v>1435</v>
      </c>
      <c r="I48" s="116" t="s">
        <v>27</v>
      </c>
      <c r="J48" s="79" t="s">
        <v>28</v>
      </c>
      <c r="K48" s="86">
        <f>K46+K47</f>
        <v>4075.875</v>
      </c>
    </row>
    <row r="49">
      <c r="G49" s="55" t="s">
        <v>29</v>
      </c>
      <c r="H49" s="115">
        <f>H47*0.01*(I49/12)</f>
        <v>717.5</v>
      </c>
      <c r="I49" s="116">
        <v>6.0</v>
      </c>
      <c r="J49" s="79"/>
      <c r="K49" s="87"/>
    </row>
    <row r="50">
      <c r="G50" s="55" t="s">
        <v>30</v>
      </c>
      <c r="H50" s="115">
        <f>H47*0.015</f>
        <v>2152.5</v>
      </c>
      <c r="I50" s="116" t="s">
        <v>27</v>
      </c>
      <c r="J50" s="79" t="s">
        <v>31</v>
      </c>
      <c r="K50" s="88">
        <f>K36-K48</f>
        <v>23096.625</v>
      </c>
    </row>
    <row r="51">
      <c r="G51" s="55" t="s">
        <v>32</v>
      </c>
      <c r="H51" s="115">
        <f>(H52/24)*I51</f>
        <v>5022.5</v>
      </c>
      <c r="I51" s="116">
        <v>6.0</v>
      </c>
      <c r="J51" s="89"/>
      <c r="K51" s="90">
        <f>K50/K33</f>
        <v>0.1197786882</v>
      </c>
    </row>
    <row r="52">
      <c r="G52" s="55" t="s">
        <v>33</v>
      </c>
      <c r="H52" s="115">
        <f>H47*I52*2</f>
        <v>20090</v>
      </c>
      <c r="I52" s="117">
        <v>0.07</v>
      </c>
      <c r="J52" s="72"/>
      <c r="K52" s="118"/>
    </row>
    <row r="53">
      <c r="G53" s="119" t="s">
        <v>34</v>
      </c>
      <c r="H53" s="120">
        <f>SUM(H48:H51)</f>
        <v>9327.5</v>
      </c>
      <c r="I53" s="111"/>
      <c r="J53" s="72"/>
      <c r="K53" s="118"/>
    </row>
    <row r="54">
      <c r="G54" s="121" t="s">
        <v>35</v>
      </c>
      <c r="H54" s="122">
        <f>SUM(H48:H52)</f>
        <v>29417.5</v>
      </c>
      <c r="I54" s="123"/>
      <c r="J54" s="72"/>
      <c r="K54" s="118"/>
    </row>
  </sheetData>
  <mergeCells count="6">
    <mergeCell ref="G28:K29"/>
    <mergeCell ref="J36:J37"/>
    <mergeCell ref="K36:K37"/>
    <mergeCell ref="J39:J40"/>
    <mergeCell ref="K39:K40"/>
    <mergeCell ref="K42:K43"/>
  </mergeCells>
  <drawing r:id="rId1"/>
</worksheet>
</file>