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Your yacht" sheetId="2" state="visible" r:id="rId2"/>
    <sheet xmlns:r="http://schemas.openxmlformats.org/officeDocument/2006/relationships" name="Annual cost" sheetId="3" state="visible" r:id="rId3"/>
    <sheet xmlns:r="http://schemas.openxmlformats.org/officeDocument/2006/relationships" name="Trip" sheetId="4" state="visible" r:id="rId4"/>
    <sheet xmlns:r="http://schemas.openxmlformats.org/officeDocument/2006/relationships" name="Five years" sheetId="5" state="visible" r:id="rId5"/>
    <sheet xmlns:r="http://schemas.openxmlformats.org/officeDocument/2006/relationships" name="Sources" sheetId="6" state="visible" r:id="rId6"/>
  </sheets>
  <definedNames/>
  <calcPr calcId="124519" fullCalcOnLoad="1"/>
</workbook>
</file>

<file path=xl/styles.xml><?xml version="1.0" encoding="utf-8"?>
<styleSheet xmlns="http://schemas.openxmlformats.org/spreadsheetml/2006/main">
  <numFmts count="4">
    <numFmt numFmtId="164" formatCode="&quot;$&quot;#,##0"/>
    <numFmt numFmtId="165" formatCode="&quot;$&quot;#,##0.00"/>
    <numFmt numFmtId="166" formatCode="0.0%"/>
    <numFmt numFmtId="167" formatCode="#,##0.0"/>
  </numFmts>
  <fonts count="11">
    <font>
      <name val="Calibri"/>
      <family val="2"/>
      <color theme="1"/>
      <sz val="11"/>
      <scheme val="minor"/>
    </font>
    <font>
      <name val="Arial"/>
      <b val="1"/>
      <color rgb="00E87722"/>
      <sz val="8"/>
    </font>
    <font>
      <name val="Arial"/>
      <color rgb="001A2B5C"/>
      <sz val="22"/>
    </font>
    <font>
      <name val="Arial"/>
      <color rgb="0048536D"/>
      <sz val="10.5"/>
    </font>
    <font>
      <name val="Arial"/>
      <b val="1"/>
      <color rgb="001A2B5C"/>
      <sz val="8.5"/>
    </font>
    <font>
      <name val="Arial"/>
      <color rgb="001F2740"/>
      <sz val="10.5"/>
    </font>
    <font>
      <name val="Arial"/>
      <color rgb="007C8699"/>
      <sz val="9"/>
    </font>
    <font>
      <name val="Arial"/>
      <b val="1"/>
      <color rgb="001A2B5C"/>
      <sz val="10.5"/>
    </font>
    <font>
      <name val="Arial"/>
      <b val="1"/>
      <color rgb="001A2B5C"/>
      <sz val="11"/>
    </font>
    <font>
      <name val="Arial"/>
      <b val="1"/>
      <color rgb="001A2B5C"/>
      <sz val="13"/>
    </font>
    <font>
      <name val="Arial"/>
      <color rgb="001A2B5C"/>
      <sz val="16"/>
    </font>
  </fonts>
  <fills count="3">
    <fill>
      <patternFill/>
    </fill>
    <fill>
      <patternFill patternType="gray125"/>
    </fill>
    <fill>
      <patternFill patternType="solid">
        <fgColor rgb="00F4F6FA"/>
      </patternFill>
    </fill>
  </fills>
  <borders count="5">
    <border>
      <left/>
      <right/>
      <top/>
      <bottom/>
      <diagonal/>
    </border>
    <border>
      <bottom style="thin">
        <color rgb="00E87722"/>
      </bottom>
    </border>
    <border>
      <bottom style="thin">
        <color rgb="001A2B5C"/>
      </bottom>
    </border>
    <border>
      <top style="thin">
        <color rgb="001A2B5C"/>
      </top>
    </border>
    <border>
      <bottom style="thin">
        <color rgb="00CBD3E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0" fillId="0" borderId="1" pivotButton="0" quotePrefix="0" xfId="0"/>
    <xf numFmtId="0" fontId="5" fillId="0" borderId="0" pivotButton="0" quotePrefix="0" xfId="0"/>
    <xf numFmtId="3" fontId="7" fillId="2" borderId="2" applyAlignment="1" applyProtection="1" pivotButton="0" quotePrefix="0" xfId="0">
      <alignment horizontal="right"/>
      <protection locked="0" hidden="0"/>
    </xf>
    <xf numFmtId="0" fontId="6" fillId="0" borderId="0" applyAlignment="1" pivotButton="0" quotePrefix="0" xfId="0">
      <alignment indent="1"/>
    </xf>
    <xf numFmtId="164" fontId="7" fillId="2" borderId="2" applyAlignment="1" applyProtection="1" pivotButton="0" quotePrefix="0" xfId="0">
      <alignment horizontal="right"/>
      <protection locked="0" hidden="0"/>
    </xf>
    <xf numFmtId="165" fontId="7" fillId="2" borderId="2" applyAlignment="1" applyProtection="1" pivotButton="0" quotePrefix="0" xfId="0">
      <alignment horizontal="right"/>
      <protection locked="0" hidden="0"/>
    </xf>
    <xf numFmtId="166" fontId="7" fillId="2" borderId="2" applyAlignment="1" applyProtection="1" pivotButton="0" quotePrefix="0" xfId="0">
      <alignment horizontal="right"/>
      <protection locked="0" hidden="0"/>
    </xf>
    <xf numFmtId="167" fontId="7" fillId="2" borderId="2" applyAlignment="1" applyProtection="1" pivotButton="0" quotePrefix="0" xfId="0">
      <alignment horizontal="right"/>
      <protection locked="0" hidden="0"/>
    </xf>
    <xf numFmtId="0" fontId="4" fillId="0" borderId="1" applyAlignment="1" pivotButton="0" quotePrefix="0" xfId="0">
      <alignment horizontal="left"/>
    </xf>
    <xf numFmtId="0" fontId="4" fillId="0" borderId="1" applyAlignment="1" pivotButton="0" quotePrefix="0" xfId="0">
      <alignment horizontal="right"/>
    </xf>
    <xf numFmtId="164" fontId="5" fillId="0" borderId="0" applyAlignment="1" pivotButton="0" quotePrefix="0" xfId="0">
      <alignment horizontal="right"/>
    </xf>
    <xf numFmtId="166" fontId="6" fillId="0" borderId="0" applyAlignment="1" pivotButton="0" quotePrefix="0" xfId="0">
      <alignment horizontal="right"/>
    </xf>
    <xf numFmtId="0" fontId="8" fillId="0" borderId="3" pivotButton="0" quotePrefix="0" xfId="0"/>
    <xf numFmtId="164" fontId="8" fillId="0" borderId="3" applyAlignment="1" pivotButton="0" quotePrefix="0" xfId="0">
      <alignment horizontal="right"/>
    </xf>
    <xf numFmtId="166" fontId="8" fillId="0" borderId="3" applyAlignment="1" pivotButton="0" quotePrefix="0" xfId="0">
      <alignment horizontal="right"/>
    </xf>
    <xf numFmtId="0" fontId="9" fillId="0" borderId="3" pivotButton="0" quotePrefix="0" xfId="0"/>
    <xf numFmtId="164" fontId="9" fillId="0" borderId="3" applyAlignment="1" pivotButton="0" quotePrefix="0" xfId="0">
      <alignment horizontal="right"/>
    </xf>
    <xf numFmtId="164" fontId="10" fillId="0" borderId="0" applyAlignment="1" pivotButton="0" quotePrefix="0" xfId="0">
      <alignment horizontal="right"/>
    </xf>
    <xf numFmtId="0" fontId="6" fillId="0" borderId="0" pivotButton="0" quotePrefix="0" xfId="0"/>
    <xf numFmtId="166" fontId="10" fillId="0" borderId="0" applyAlignment="1" pivotButton="0" quotePrefix="0" xfId="0">
      <alignment horizontal="right"/>
    </xf>
    <xf numFmtId="167" fontId="5" fillId="0" borderId="0" applyAlignment="1" pivotButton="0" quotePrefix="0" xfId="0">
      <alignment horizontal="right"/>
    </xf>
    <xf numFmtId="3" fontId="5" fillId="0" borderId="0" applyAlignment="1" pivotButton="0" quotePrefix="0" xfId="0">
      <alignment horizontal="right"/>
    </xf>
    <xf numFmtId="165" fontId="5" fillId="0" borderId="0" applyAlignment="1" pivotButton="0" quotePrefix="0" xfId="0">
      <alignment horizontal="right"/>
    </xf>
    <xf numFmtId="0" fontId="4" fillId="0" borderId="0" applyAlignment="1" pivotButton="0" quotePrefix="0" xfId="0">
      <alignment horizontal="right"/>
    </xf>
    <xf numFmtId="164" fontId="8" fillId="0" borderId="0" applyAlignment="1" pivotButton="0" quotePrefix="0" xfId="0">
      <alignment horizontal="right"/>
    </xf>
    <xf numFmtId="0" fontId="5" fillId="0" borderId="4" applyAlignment="1" pivotButton="0" quotePrefix="0" xfId="0">
      <alignment vertical="top"/>
    </xf>
    <xf numFmtId="0" fontId="7" fillId="0" borderId="4" applyAlignment="1" pivotButton="0" quotePrefix="0" xfId="0">
      <alignment vertical="top"/>
    </xf>
    <xf numFmtId="0" fontId="6" fillId="0" borderId="4"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1123950" cy="7810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4:B26"/>
  <sheetViews>
    <sheetView showGridLines="0" workbookViewId="0">
      <selection activeCell="A1" sqref="A1"/>
    </sheetView>
  </sheetViews>
  <sheetFormatPr baseColWidth="8" defaultRowHeight="15"/>
  <cols>
    <col width="3" customWidth="1" min="1" max="1"/>
    <col width="96" customWidth="1" min="2" max="2"/>
  </cols>
  <sheetData>
    <row r="2" ht="62" customHeight="1"/>
    <row r="4">
      <c r="B4" s="1" t="inlineStr">
        <is>
          <t>RUNNING COST CALCULATOR</t>
        </is>
      </c>
    </row>
    <row r="5" ht="36" customHeight="1">
      <c r="B5" s="2" t="inlineStr">
        <is>
          <t>What your yacht costs a year</t>
        </is>
      </c>
    </row>
    <row r="6">
      <c r="B6" s="3" t="inlineStr">
        <is>
          <t>Berth, insurance, yard, servicing, cleaning, crew and fuel: per year, per month and per day you use her.</t>
        </is>
      </c>
    </row>
    <row r="8" ht="22" customHeight="1">
      <c r="B8" s="4" t="inlineStr">
        <is>
          <t>HOW TO USE IT</t>
        </is>
      </c>
    </row>
    <row r="9" ht="36" customHeight="1">
      <c r="B9" s="5" t="inlineStr">
        <is>
          <t>1.  Open the Your yacht tab and type over the shaded cells: her length, her insured value, your berth rate and how much you use her.</t>
        </is>
      </c>
    </row>
    <row r="10" ht="36" customHeight="1">
      <c r="B10" s="5" t="inlineStr">
        <is>
          <t>2.  Open Annual cost. It adds everything up: at the dock, in use, per month, per day you use her, and as a share of her value.</t>
        </is>
      </c>
    </row>
    <row r="11" ht="21" customHeight="1">
      <c r="B11" s="5" t="inlineStr">
        <is>
          <t>3.  Open Trip to price a passage, and Five years to see where the cost is heading.</t>
        </is>
      </c>
    </row>
    <row r="13" ht="22" customHeight="1">
      <c r="B13" s="4" t="inlineStr">
        <is>
          <t>THE STARTING NUMBERS</t>
        </is>
      </c>
    </row>
    <row r="14" ht="66" customHeight="1">
      <c r="B14" s="5" t="inlineStr">
        <is>
          <t>The calculator opens on a worked example: a 60 ft motor yacht insured for $1.2 million and kept on the Gold Coast. Each figure is a published 2026 rate or a stated allowance, and the Sources tab says which. Replace them with your own quotes as you get them; the closer the inputs, the closer the answer.</t>
        </is>
      </c>
    </row>
    <row r="16" ht="22" customHeight="1">
      <c r="B16" s="4" t="inlineStr">
        <is>
          <t>GOOD TO KNOW</t>
        </is>
      </c>
    </row>
    <row r="17" ht="51" customHeight="1">
      <c r="B17" s="5" t="inlineStr">
        <is>
          <t>Only the shaded cells are meant to be changed. The rest are formulas and are locked so they cannot be typed over by accident. To change one anyway, choose Review, then Unprotect Sheet. There is no password.</t>
        </is>
      </c>
    </row>
    <row r="18" ht="21" customHeight="1">
      <c r="B18" s="5" t="inlineStr">
        <is>
          <t>Works in Excel, Apple Numbers and Google Sheets. In Google Sheets choose File, Import, Upload.</t>
        </is>
      </c>
    </row>
    <row r="19" ht="36" customHeight="1">
      <c r="B19" s="5" t="inlineStr">
        <is>
          <t>Every amount is in Australian dollars. Use figures that include GST or figures that do not, but not a mix.</t>
        </is>
      </c>
    </row>
    <row r="20" ht="36" customHeight="1">
      <c r="B20" s="5" t="inlineStr">
        <is>
          <t>This is a planning tool, not a quote and not financial advice. Get written quotes before you commit to anything.</t>
        </is>
      </c>
    </row>
    <row r="22" ht="22" customHeight="1">
      <c r="B22" s="4" t="inlineStr">
        <is>
          <t>WANT IT HANDLED?</t>
        </is>
      </c>
    </row>
    <row r="23" ht="36" customHeight="1">
      <c r="B23" s="5" t="inlineStr">
        <is>
          <t>Marine HQ manages motor yachts from 40 to 120 ft on the Gold Coast, from The Boat Works and Gold Coast City Marina at Coomera.</t>
        </is>
      </c>
    </row>
    <row r="24" ht="21" customHeight="1">
      <c r="B24" s="5" t="inlineStr">
        <is>
          <t>0439 748 387  ·  yachtsupport@marinehq.com.au  ·  www.marinehq.com.au</t>
        </is>
      </c>
    </row>
    <row r="26" ht="36" customHeight="1">
      <c r="B26" s="6" t="inlineStr">
        <is>
          <t>MHQ-RC-001  ·  Version 1.0  ·  October 2026  ·  © Marine HQ. For the buyer's own use; please do not share or resell.</t>
        </is>
      </c>
    </row>
  </sheetData>
  <printOptions horizontalCentered="1"/>
  <pageMargins left="0.5" right="0.5" top="1" bottom="1" header="0.5" footer="0.5"/>
  <pageSetup orientation="portrait"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2:D46"/>
  <sheetViews>
    <sheetView showGridLines="0" workbookViewId="0">
      <selection activeCell="A1" sqref="A1"/>
    </sheetView>
  </sheetViews>
  <sheetFormatPr baseColWidth="8" defaultRowHeight="15"/>
  <cols>
    <col width="3" customWidth="1" min="1" max="1"/>
    <col width="44" customWidth="1" min="2" max="2"/>
    <col width="16" customWidth="1" min="3" max="3"/>
    <col width="78" customWidth="1" min="4" max="4"/>
  </cols>
  <sheetData>
    <row r="1" ht="10" customHeight="1"/>
    <row r="2">
      <c r="B2" s="1" t="inlineStr">
        <is>
          <t>MARINE HQ  ·  RUNNING COST CALCULATOR</t>
        </is>
      </c>
    </row>
    <row r="3" ht="34" customHeight="1">
      <c r="B3" s="2" t="inlineStr">
        <is>
          <t>Your yacht</t>
        </is>
      </c>
    </row>
    <row r="4">
      <c r="B4" s="3" t="inlineStr">
        <is>
          <t>Type over the shaded cells. Everything else works itself out.</t>
        </is>
      </c>
    </row>
    <row r="5" ht="12" customHeight="1"/>
    <row r="6" ht="20" customHeight="1">
      <c r="B6" s="4" t="inlineStr">
        <is>
          <t>THE YACHT</t>
        </is>
      </c>
      <c r="C6" s="7" t="n"/>
      <c r="D6" s="7" t="n"/>
    </row>
    <row r="7" ht="19" customHeight="1">
      <c r="B7" s="8" t="inlineStr">
        <is>
          <t>Length, feet</t>
        </is>
      </c>
      <c r="C7" s="9" t="n">
        <v>60</v>
      </c>
      <c r="D7" s="10" t="inlineStr">
        <is>
          <t>Length overall</t>
        </is>
      </c>
    </row>
    <row r="8" ht="19" customHeight="1">
      <c r="B8" s="8" t="inlineStr">
        <is>
          <t>Insured value</t>
        </is>
      </c>
      <c r="C8" s="11" t="n">
        <v>1200000</v>
      </c>
      <c r="D8" s="10" t="inlineStr">
        <is>
          <t>The agreed or market value on your policy</t>
        </is>
      </c>
    </row>
    <row r="9" ht="12" customHeight="1"/>
    <row r="10" ht="20" customHeight="1">
      <c r="B10" s="4" t="inlineStr">
        <is>
          <t>BERTH AND SHORE POWER</t>
        </is>
      </c>
      <c r="C10" s="7" t="n"/>
      <c r="D10" s="7" t="n"/>
    </row>
    <row r="11" ht="19" customHeight="1">
      <c r="B11" s="8" t="inlineStr">
        <is>
          <t>Berth, per month</t>
        </is>
      </c>
      <c r="C11" s="12" t="n">
        <v>1609.25</v>
      </c>
      <c r="D11" s="10" t="inlineStr">
        <is>
          <t>Your marina's rate for your length. Starting figure: Southport Yacht Club, 59 ft single, 12-month member rate, May 2026</t>
        </is>
      </c>
    </row>
    <row r="12" ht="19" customHeight="1">
      <c r="B12" s="8" t="inlineStr">
        <is>
          <t>Months in the berth</t>
        </is>
      </c>
      <c r="C12" s="9" t="n">
        <v>12</v>
      </c>
      <c r="D12" s="10" t="inlineStr">
        <is>
          <t>Fewer if she spends part of the year away or on the hardstand</t>
        </is>
      </c>
    </row>
    <row r="13" ht="19" customHeight="1">
      <c r="B13" s="8" t="inlineStr">
        <is>
          <t>Shore power, per month</t>
        </is>
      </c>
      <c r="C13" s="11" t="n">
        <v>125</v>
      </c>
      <c r="D13" s="10" t="inlineStr">
        <is>
          <t>Allowance</t>
        </is>
      </c>
    </row>
    <row r="14" ht="12" customHeight="1"/>
    <row r="15" ht="20" customHeight="1">
      <c r="B15" s="4" t="inlineStr">
        <is>
          <t>INSURANCE AND REGISTRATION</t>
        </is>
      </c>
      <c r="C15" s="7" t="n"/>
      <c r="D15" s="7" t="n"/>
    </row>
    <row r="16" ht="19" customHeight="1">
      <c r="B16" s="8" t="inlineStr">
        <is>
          <t>Insurance, share of insured value</t>
        </is>
      </c>
      <c r="C16" s="13" t="n">
        <v>0.015</v>
      </c>
      <c r="D16" s="10" t="inlineStr">
        <is>
          <t>Typically 1% to 3% a year in Australia. Work back from your own premium if you have one</t>
        </is>
      </c>
    </row>
    <row r="17" ht="19" customHeight="1">
      <c r="B17" s="8" t="inlineStr">
        <is>
          <t>Registration, per year</t>
        </is>
      </c>
      <c r="C17" s="12" t="n"/>
      <c r="D17" s="10" t="inlineStr">
        <is>
          <t>Leave empty to use the Queensland 2026–27 fee for her length (33 ft and over), or type your own</t>
        </is>
      </c>
    </row>
    <row r="18" ht="12" customHeight="1"/>
    <row r="19" ht="20" customHeight="1">
      <c r="B19" s="4" t="inlineStr">
        <is>
          <t>YARD AND SERVICING</t>
        </is>
      </c>
      <c r="C19" s="7" t="n"/>
      <c r="D19" s="7" t="n"/>
    </row>
    <row r="20" ht="19" customHeight="1">
      <c r="B20" s="8" t="inlineStr">
        <is>
          <t>Antifoul and yard visit, each time</t>
        </is>
      </c>
      <c r="C20" s="11" t="n">
        <v>10000</v>
      </c>
      <c r="D20" s="10" t="inlineStr">
        <is>
          <t>Allowance for 60 ft: lift, hardstand, paint, labour, Propspeed, anodes. Yards quote above 50 ft</t>
        </is>
      </c>
    </row>
    <row r="21" ht="19" customHeight="1">
      <c r="B21" s="8" t="inlineStr">
        <is>
          <t>Months between antifouls</t>
        </is>
      </c>
      <c r="C21" s="9" t="n">
        <v>12</v>
      </c>
      <c r="D21" s="10" t="inlineStr">
        <is>
          <t>12 to 18 in warm Gold Coast water</t>
        </is>
      </c>
    </row>
    <row r="22" ht="19" customHeight="1">
      <c r="B22" s="8" t="inlineStr">
        <is>
          <t>Main engines</t>
        </is>
      </c>
      <c r="C22" s="9" t="n">
        <v>2</v>
      </c>
      <c r="D22" s="10" t="inlineStr"/>
    </row>
    <row r="23" ht="19" customHeight="1">
      <c r="B23" s="8" t="inlineStr">
        <is>
          <t>Service, per engine per year</t>
        </is>
      </c>
      <c r="C23" s="11" t="n">
        <v>3000</v>
      </c>
      <c r="D23" s="10" t="inlineStr">
        <is>
          <t>Allowance. Published range $1,000 to $5,000 an engine in a routine year</t>
        </is>
      </c>
    </row>
    <row r="24" ht="19" customHeight="1">
      <c r="B24" s="8" t="inlineStr">
        <is>
          <t>Generators</t>
        </is>
      </c>
      <c r="C24" s="9" t="n">
        <v>1</v>
      </c>
      <c r="D24" s="10" t="inlineStr"/>
    </row>
    <row r="25" ht="19" customHeight="1">
      <c r="B25" s="8" t="inlineStr">
        <is>
          <t>Service, per generator per year</t>
        </is>
      </c>
      <c r="C25" s="11" t="n">
        <v>2000</v>
      </c>
      <c r="D25" s="10" t="inlineStr">
        <is>
          <t>Allowance</t>
        </is>
      </c>
    </row>
    <row r="26" ht="19" customHeight="1">
      <c r="B26" s="8" t="inlineStr">
        <is>
          <t>Unplanned repairs, per year</t>
        </is>
      </c>
      <c r="C26" s="11" t="n">
        <v>5000</v>
      </c>
      <c r="D26" s="10" t="inlineStr">
        <is>
          <t>Upper end of the published $1,000 to $5,000. Allow more for an older yacht</t>
        </is>
      </c>
    </row>
    <row r="27" ht="12" customHeight="1"/>
    <row r="28" ht="20" customHeight="1">
      <c r="B28" s="4" t="inlineStr">
        <is>
          <t>KEEPING HER CLEAN AND SAFE</t>
        </is>
      </c>
      <c r="C28" s="7" t="n"/>
      <c r="D28" s="7" t="n"/>
    </row>
    <row r="29" ht="19" customHeight="1">
      <c r="B29" s="8" t="inlineStr">
        <is>
          <t>Wash-downs per year</t>
        </is>
      </c>
      <c r="C29" s="9" t="n">
        <v>26</v>
      </c>
      <c r="D29" s="10" t="inlineStr">
        <is>
          <t>Fortnightly is 26</t>
        </is>
      </c>
    </row>
    <row r="30" ht="19" customHeight="1">
      <c r="B30" s="8" t="inlineStr">
        <is>
          <t>Wash-down, per foot</t>
        </is>
      </c>
      <c r="C30" s="12" t="n">
        <v>5</v>
      </c>
      <c r="D30" s="10" t="inlineStr">
        <is>
          <t>Published rate $4.75 to $5.00 a foot for 41 to 60 ft</t>
        </is>
      </c>
    </row>
    <row r="31" ht="19" customHeight="1">
      <c r="B31" s="8" t="inlineStr">
        <is>
          <t>Cut and polish, per foot</t>
        </is>
      </c>
      <c r="C31" s="12" t="n">
        <v>0</v>
      </c>
      <c r="D31" s="10" t="inlineStr">
        <is>
          <t>Published rate $18 to $20 a foot. Leave at 0 in a year you skip it</t>
        </is>
      </c>
    </row>
    <row r="32" ht="19" customHeight="1">
      <c r="B32" s="8" t="inlineStr">
        <is>
          <t>Safety gear, per year</t>
        </is>
      </c>
      <c r="C32" s="11" t="n">
        <v>1000</v>
      </c>
      <c r="D32" s="10" t="inlineStr">
        <is>
          <t>Allowance: flares, EPIRB, extinguishers, life raft service</t>
        </is>
      </c>
    </row>
    <row r="33" ht="12" customHeight="1"/>
    <row r="34" ht="20" customHeight="1">
      <c r="B34" s="4" t="inlineStr">
        <is>
          <t>PEOPLE AND EVERYTHING ELSE</t>
        </is>
      </c>
      <c r="C34" s="7" t="n"/>
      <c r="D34" s="7" t="n"/>
    </row>
    <row r="35" ht="19" customHeight="1">
      <c r="B35" s="8" t="inlineStr">
        <is>
          <t>Skipper or crew, days per year</t>
        </is>
      </c>
      <c r="C35" s="9" t="n">
        <v>0</v>
      </c>
      <c r="D35" s="10" t="inlineStr">
        <is>
          <t>Days you pay someone to run or crew her</t>
        </is>
      </c>
    </row>
    <row r="36" ht="19" customHeight="1">
      <c r="B36" s="8" t="inlineStr">
        <is>
          <t>Skipper or crew, per day</t>
        </is>
      </c>
      <c r="C36" s="11" t="n">
        <v>0</v>
      </c>
      <c r="D36" s="10" t="inlineStr">
        <is>
          <t>Your skipper's day rate</t>
        </is>
      </c>
    </row>
    <row r="37" ht="19" customHeight="1">
      <c r="B37" s="8" t="inlineStr">
        <is>
          <t>Vessel management, per month</t>
        </is>
      </c>
      <c r="C37" s="11" t="n">
        <v>0</v>
      </c>
      <c r="D37" s="10" t="inlineStr">
        <is>
          <t>If a manager looks after her</t>
        </is>
      </c>
    </row>
    <row r="38" ht="19" customHeight="1">
      <c r="B38" s="8" t="inlineStr">
        <is>
          <t>Anything else, per year</t>
        </is>
      </c>
      <c r="C38" s="11" t="n">
        <v>0</v>
      </c>
      <c r="D38" s="10" t="inlineStr">
        <is>
          <t>Finance, club membership, tender, storage</t>
        </is>
      </c>
    </row>
    <row r="39" ht="12" customHeight="1"/>
    <row r="40" ht="20" customHeight="1">
      <c r="B40" s="4" t="inlineStr">
        <is>
          <t>USING HER</t>
        </is>
      </c>
      <c r="C40" s="7" t="n"/>
      <c r="D40" s="7" t="n"/>
    </row>
    <row r="41" ht="19" customHeight="1">
      <c r="B41" s="8" t="inlineStr">
        <is>
          <t>Days used per year</t>
        </is>
      </c>
      <c r="C41" s="9" t="n">
        <v>25</v>
      </c>
      <c r="D41" s="10" t="inlineStr">
        <is>
          <t>Days she leaves the berth</t>
        </is>
      </c>
    </row>
    <row r="42" ht="19" customHeight="1">
      <c r="B42" s="8" t="inlineStr">
        <is>
          <t>Engine hours per year</t>
        </is>
      </c>
      <c r="C42" s="9" t="n">
        <v>100</v>
      </c>
      <c r="D42" s="10" t="inlineStr"/>
    </row>
    <row r="43" ht="19" customHeight="1">
      <c r="B43" s="8" t="inlineStr">
        <is>
          <t>Fuel burn at cruise, litres an hour</t>
        </is>
      </c>
      <c r="C43" s="9" t="n">
        <v>180</v>
      </c>
      <c r="D43" s="10" t="inlineStr">
        <is>
          <t>All engines together. Starting figure: 55 to 60 ft at about 23 knots, from published sea trials</t>
        </is>
      </c>
    </row>
    <row r="44" ht="19" customHeight="1">
      <c r="B44" s="8" t="inlineStr">
        <is>
          <t>Diesel, per litre</t>
        </is>
      </c>
      <c r="C44" s="12" t="n">
        <v>2.84</v>
      </c>
      <c r="D44" s="10" t="inlineStr">
        <is>
          <t>Marina pump price, south-east Queensland, September 2026</t>
        </is>
      </c>
    </row>
    <row r="45" ht="19" customHeight="1">
      <c r="B45" s="8" t="inlineStr">
        <is>
          <t>Generator hours per year</t>
        </is>
      </c>
      <c r="C45" s="9" t="n">
        <v>0</v>
      </c>
      <c r="D45" s="10" t="inlineStr">
        <is>
          <t>At anchor and overnight</t>
        </is>
      </c>
    </row>
    <row r="46" ht="19" customHeight="1">
      <c r="B46" s="8" t="inlineStr">
        <is>
          <t>Generator burn, litres an hour</t>
        </is>
      </c>
      <c r="C46" s="14" t="n">
        <v>0</v>
      </c>
      <c r="D46" s="10" t="inlineStr">
        <is>
          <t>From the generator's data sheet</t>
        </is>
      </c>
    </row>
  </sheetData>
  <sheetProtection selectLockedCells="0" selectUnlockedCells="0" sheet="1" objects="0" insertRows="1" insertHyperlinks="1" autoFilter="1" scenarios="0" formatColumns="0" deleteColumns="1" insertColumns="1" pivotTables="1" deleteRows="1" formatCells="1" formatRows="0" sort="1"/>
  <printOptions horizontalCentered="1"/>
  <pageMargins left="0.5" right="0.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B2:F36"/>
  <sheetViews>
    <sheetView showGridLines="0" workbookViewId="0">
      <selection activeCell="A1" sqref="A1"/>
    </sheetView>
  </sheetViews>
  <sheetFormatPr baseColWidth="8" defaultRowHeight="15"/>
  <cols>
    <col width="3" customWidth="1" min="1" max="1"/>
    <col width="40" customWidth="1" min="2" max="2"/>
    <col width="15" customWidth="1" min="3" max="3"/>
    <col width="15" customWidth="1" min="4" max="4"/>
    <col width="11" customWidth="1" min="5" max="5"/>
    <col width="62" customWidth="1" min="6" max="6"/>
  </cols>
  <sheetData>
    <row r="1" ht="10" customHeight="1"/>
    <row r="2">
      <c r="B2" s="1" t="inlineStr">
        <is>
          <t>MARINE HQ  ·  RUNNING COST CALCULATOR</t>
        </is>
      </c>
    </row>
    <row r="3" ht="34" customHeight="1">
      <c r="B3" s="2" t="inlineStr">
        <is>
          <t>Annual cost</t>
        </is>
      </c>
    </row>
    <row r="4">
      <c r="B4" s="3" t="inlineStr">
        <is>
          <t>Worked out from the Your yacht tab. Nothing to type here.</t>
        </is>
      </c>
    </row>
    <row r="6" ht="20" customHeight="1">
      <c r="B6" s="15" t="inlineStr">
        <is>
          <t>AT THE DOCK</t>
        </is>
      </c>
      <c r="C6" s="16" t="inlineStr">
        <is>
          <t>PER YEAR</t>
        </is>
      </c>
      <c r="D6" s="16" t="inlineStr">
        <is>
          <t>PER MONTH</t>
        </is>
      </c>
      <c r="E6" s="16" t="inlineStr">
        <is>
          <t>SHARE</t>
        </is>
      </c>
      <c r="F6" s="7" t="n"/>
    </row>
    <row r="7" ht="19" customHeight="1">
      <c r="B7" s="8" t="inlineStr">
        <is>
          <t>Berth</t>
        </is>
      </c>
      <c r="C7" s="17">
        <f>'Your yacht'!C11*'Your yacht'!C12</f>
        <v>19311.0</v>
      </c>
      <c r="D7" s="17">
        <f>C7/12</f>
        <v>1609.25</v>
      </c>
      <c r="E7" s="18">
        <f>IF($C$27=0,0,C7/$C$27)</f>
        <v>0.1576278844062181</v>
      </c>
      <c r="F7" s="10" t="inlineStr">
        <is>
          <t>Monthly rate × months in the berth</t>
        </is>
      </c>
    </row>
    <row r="8" ht="19" customHeight="1">
      <c r="B8" s="8" t="inlineStr">
        <is>
          <t>Shore power</t>
        </is>
      </c>
      <c r="C8" s="17">
        <f>'Your yacht'!C13*'Your yacht'!C12</f>
        <v>1500.0</v>
      </c>
      <c r="D8" s="17">
        <f>C8/12</f>
        <v>125.0</v>
      </c>
      <c r="E8" s="18">
        <f>IF($C$27=0,0,C8/$C$27)</f>
        <v>0.012243893460169186</v>
      </c>
      <c r="F8" s="10" t="inlineStr">
        <is>
          <t>Monthly allowance × months in the berth</t>
        </is>
      </c>
    </row>
    <row r="9" ht="19" customHeight="1">
      <c r="B9" s="8" t="inlineStr">
        <is>
          <t>Insurance</t>
        </is>
      </c>
      <c r="C9" s="17">
        <f>'Your yacht'!C8*'Your yacht'!C16</f>
        <v>18000.0</v>
      </c>
      <c r="D9" s="17">
        <f>C9/12</f>
        <v>1500.0</v>
      </c>
      <c r="E9" s="18">
        <f>IF($C$27=0,0,C9/$C$27)</f>
        <v>0.14692672152203023</v>
      </c>
      <c r="F9" s="10" t="inlineStr">
        <is>
          <t>Insured value × your percentage</t>
        </is>
      </c>
    </row>
    <row r="10" ht="19" customHeight="1">
      <c r="B10" s="8" t="inlineStr">
        <is>
          <t>Registration</t>
        </is>
      </c>
      <c r="C10" s="17">
        <f>IF('Your yacht'!C17="",IF('Your yacht'!C7*0.3048&gt;20,980.25,IF('Your yacht'!C7*0.3048&gt;15,779.05,628.6)),'Your yacht'!C17)</f>
        <v>779.05</v>
      </c>
      <c r="D10" s="17">
        <f>C10/12</f>
        <v>64.92083333333333</v>
      </c>
      <c r="E10" s="18">
        <f>IF($C$27=0,0,C10/$C$27)</f>
        <v>0.006359070133429869</v>
      </c>
      <c r="F10" s="10" t="inlineStr">
        <is>
          <t>Queensland 2026–27: 10–15 m $628.60, 15–20 m $779.05, over 20 m $980.25</t>
        </is>
      </c>
    </row>
    <row r="11" ht="19" customHeight="1">
      <c r="B11" s="8" t="inlineStr">
        <is>
          <t>Antifoul and yard visit</t>
        </is>
      </c>
      <c r="C11" s="17">
        <f>'Your yacht'!C20*12/'Your yacht'!C21</f>
        <v>10000.0</v>
      </c>
      <c r="D11" s="17">
        <f>C11/12</f>
        <v>833.3333333333334</v>
      </c>
      <c r="E11" s="18">
        <f>IF($C$27=0,0,C11/$C$27)</f>
        <v>0.08162595640112791</v>
      </c>
      <c r="F11" s="10" t="inlineStr">
        <is>
          <t>Each visit, spread over the months between them</t>
        </is>
      </c>
    </row>
    <row r="12" ht="19" customHeight="1">
      <c r="B12" s="8" t="inlineStr">
        <is>
          <t>Engine and generator servicing</t>
        </is>
      </c>
      <c r="C12" s="17">
        <f>'Your yacht'!C22*'Your yacht'!C23+'Your yacht'!C24*'Your yacht'!C25</f>
        <v>8000.0</v>
      </c>
      <c r="D12" s="17">
        <f>C12/12</f>
        <v>666.6666666666666</v>
      </c>
      <c r="E12" s="18">
        <f>IF($C$27=0,0,C12/$C$27)</f>
        <v>0.06530076512090233</v>
      </c>
      <c r="F12" s="10" t="inlineStr">
        <is>
          <t>Engines × service + generators × service</t>
        </is>
      </c>
    </row>
    <row r="13" ht="19" customHeight="1">
      <c r="B13" s="8" t="inlineStr">
        <is>
          <t>Unplanned repairs</t>
        </is>
      </c>
      <c r="C13" s="17">
        <f>'Your yacht'!C26</f>
        <v>5000.0</v>
      </c>
      <c r="D13" s="17">
        <f>C13/12</f>
        <v>416.6666666666667</v>
      </c>
      <c r="E13" s="18">
        <f>IF($C$27=0,0,C13/$C$27)</f>
        <v>0.040812978200563954</v>
      </c>
      <c r="F13" s="10" t="inlineStr"/>
    </row>
    <row r="14" ht="19" customHeight="1">
      <c r="B14" s="8" t="inlineStr">
        <is>
          <t>Wash-downs</t>
        </is>
      </c>
      <c r="C14" s="17">
        <f>'Your yacht'!C29*'Your yacht'!C30*'Your yacht'!C7</f>
        <v>7800.0</v>
      </c>
      <c r="D14" s="17">
        <f>C14/12</f>
        <v>650.0</v>
      </c>
      <c r="E14" s="18">
        <f>IF($C$27=0,0,C14/$C$27)</f>
        <v>0.06366824599287976</v>
      </c>
      <c r="F14" s="10" t="inlineStr">
        <is>
          <t>Washes × rate a foot × length</t>
        </is>
      </c>
    </row>
    <row r="15" ht="19" customHeight="1">
      <c r="B15" s="8" t="inlineStr">
        <is>
          <t>Cut and polish</t>
        </is>
      </c>
      <c r="C15" s="17">
        <f>'Your yacht'!C31*'Your yacht'!C7</f>
        <v>0.0</v>
      </c>
      <c r="D15" s="17">
        <f>C15/12</f>
        <v>0.0</v>
      </c>
      <c r="E15" s="18">
        <f>IF($C$27=0,0,C15/$C$27)</f>
        <v>0.0</v>
      </c>
      <c r="F15" s="10" t="inlineStr">
        <is>
          <t>Rate a foot × length</t>
        </is>
      </c>
    </row>
    <row r="16" ht="19" customHeight="1">
      <c r="B16" s="8" t="inlineStr">
        <is>
          <t>Safety gear</t>
        </is>
      </c>
      <c r="C16" s="17">
        <f>'Your yacht'!C32</f>
        <v>1000.0</v>
      </c>
      <c r="D16" s="17">
        <f>C16/12</f>
        <v>83.33333333333333</v>
      </c>
      <c r="E16" s="18">
        <f>IF($C$27=0,0,C16/$C$27)</f>
        <v>0.00816259564011279</v>
      </c>
      <c r="F16" s="10" t="inlineStr"/>
    </row>
    <row r="17" ht="19" customHeight="1">
      <c r="B17" s="8" t="inlineStr">
        <is>
          <t>Vessel management</t>
        </is>
      </c>
      <c r="C17" s="17">
        <f>'Your yacht'!C37*12</f>
        <v>0.0</v>
      </c>
      <c r="D17" s="17">
        <f>C17/12</f>
        <v>0.0</v>
      </c>
      <c r="E17" s="18">
        <f>IF($C$27=0,0,C17/$C$27)</f>
        <v>0.0</v>
      </c>
      <c r="F17" s="10" t="inlineStr"/>
    </row>
    <row r="18" ht="19" customHeight="1">
      <c r="B18" s="8" t="inlineStr">
        <is>
          <t>Anything else</t>
        </is>
      </c>
      <c r="C18" s="17">
        <f>'Your yacht'!C38</f>
        <v>0.0</v>
      </c>
      <c r="D18" s="17">
        <f>C18/12</f>
        <v>0.0</v>
      </c>
      <c r="E18" s="18">
        <f>IF($C$27=0,0,C18/$C$27)</f>
        <v>0.0</v>
      </c>
      <c r="F18" s="10" t="inlineStr"/>
    </row>
    <row r="19" ht="20" customHeight="1">
      <c r="B19" s="19" t="inlineStr">
        <is>
          <t>At the dock</t>
        </is>
      </c>
      <c r="C19" s="20">
        <f>SUM(C7:C18)</f>
        <v>71390.05</v>
      </c>
      <c r="D19" s="20">
        <f>C19/12</f>
        <v>5949.170833333334</v>
      </c>
      <c r="E19" s="21">
        <f>IF($C$27=0,0,C19/$C$27)</f>
        <v>0.5827281108774341</v>
      </c>
      <c r="F19" s="10" t="inlineStr">
        <is>
          <t>What she costs before she leaves the berth</t>
        </is>
      </c>
    </row>
    <row r="21" ht="20" customHeight="1">
      <c r="B21" s="4" t="inlineStr">
        <is>
          <t>IN USE</t>
        </is>
      </c>
      <c r="C21" s="7" t="n"/>
      <c r="D21" s="7" t="n"/>
      <c r="E21" s="7" t="n"/>
      <c r="F21" s="7" t="n"/>
    </row>
    <row r="22" ht="19" customHeight="1">
      <c r="B22" s="8" t="inlineStr">
        <is>
          <t>Fuel, main engines</t>
        </is>
      </c>
      <c r="C22" s="17">
        <f>'Your yacht'!C42*'Your yacht'!C43*'Your yacht'!C44</f>
        <v>51120.0</v>
      </c>
      <c r="D22" s="17">
        <f>C22/12</f>
        <v>4260.0</v>
      </c>
      <c r="E22" s="18">
        <f>IF($C$27=0,0,C22/$C$27)</f>
        <v>0.41727188912256585</v>
      </c>
      <c r="F22" s="10" t="inlineStr">
        <is>
          <t>Hours × litres an hour × price a litre</t>
        </is>
      </c>
    </row>
    <row r="23" ht="19" customHeight="1">
      <c r="B23" s="8" t="inlineStr">
        <is>
          <t>Fuel, generator</t>
        </is>
      </c>
      <c r="C23" s="17">
        <f>'Your yacht'!C45*'Your yacht'!C46*'Your yacht'!C44</f>
        <v>0.0</v>
      </c>
      <c r="D23" s="17">
        <f>C23/12</f>
        <v>0.0</v>
      </c>
      <c r="E23" s="18">
        <f>IF($C$27=0,0,C23/$C$27)</f>
        <v>0.0</v>
      </c>
      <c r="F23" s="10" t="inlineStr">
        <is>
          <t>Hours × litres an hour × price a litre</t>
        </is>
      </c>
    </row>
    <row r="24" ht="19" customHeight="1">
      <c r="B24" s="8" t="inlineStr">
        <is>
          <t>Skipper or crew</t>
        </is>
      </c>
      <c r="C24" s="17">
        <f>'Your yacht'!C35*'Your yacht'!C36</f>
        <v>0.0</v>
      </c>
      <c r="D24" s="17">
        <f>C24/12</f>
        <v>0.0</v>
      </c>
      <c r="E24" s="18">
        <f>IF($C$27=0,0,C24/$C$27)</f>
        <v>0.0</v>
      </c>
      <c r="F24" s="10" t="inlineStr">
        <is>
          <t>Days × day rate</t>
        </is>
      </c>
    </row>
    <row r="25" ht="20" customHeight="1">
      <c r="B25" s="19" t="inlineStr">
        <is>
          <t>In use</t>
        </is>
      </c>
      <c r="C25" s="20">
        <f>SUM(C22:C24)</f>
        <v>51120.0</v>
      </c>
      <c r="D25" s="20">
        <f>C25/12</f>
        <v>4260.0</v>
      </c>
      <c r="E25" s="21">
        <f>IF($C$27=0,0,C25/$C$27)</f>
        <v>0.41727188912256585</v>
      </c>
      <c r="F25" s="10" t="inlineStr">
        <is>
          <t>What using her adds</t>
        </is>
      </c>
    </row>
    <row r="27" ht="24" customHeight="1">
      <c r="B27" s="22" t="inlineStr">
        <is>
          <t>Total</t>
        </is>
      </c>
      <c r="C27" s="23">
        <f>C19+C25</f>
        <v>122510.05</v>
      </c>
      <c r="D27" s="20">
        <f>C27/12</f>
        <v>10209.170833333334</v>
      </c>
      <c r="E27" s="21">
        <f>IF($C$27=0,0,C27/$C$27)</f>
        <v>1.0</v>
      </c>
      <c r="F27" s="10" t="inlineStr"/>
    </row>
    <row r="29" ht="12" customHeight="1"/>
    <row r="30" ht="20" customHeight="1">
      <c r="B30" s="4" t="inlineStr">
        <is>
          <t>THE NUMBERS THAT MATTER</t>
        </is>
      </c>
      <c r="C30" s="7" t="n"/>
      <c r="D30" s="7" t="n"/>
      <c r="E30" s="7" t="n"/>
      <c r="F30" s="7" t="n"/>
    </row>
    <row r="31" ht="26" customHeight="1">
      <c r="B31" s="8" t="inlineStr">
        <is>
          <t>A year</t>
        </is>
      </c>
      <c r="C31" s="24">
        <f>C27</f>
        <v>122510.05</v>
      </c>
      <c r="D31" s="25" t="n"/>
    </row>
    <row r="32" ht="26" customHeight="1">
      <c r="B32" s="8" t="inlineStr">
        <is>
          <t>A month</t>
        </is>
      </c>
      <c r="C32" s="24">
        <f>C27/12</f>
        <v>10209.170833333334</v>
      </c>
      <c r="D32" s="10" t="inlineStr">
        <is>
          <t>Spread evenly; the yard visit and insurance land in one hit</t>
        </is>
      </c>
    </row>
    <row r="33" ht="26" customHeight="1">
      <c r="B33" s="8" t="inlineStr">
        <is>
          <t>A day you use her</t>
        </is>
      </c>
      <c r="C33" s="24">
        <f>IF('Your yacht'!C41=0,"",C27/'Your yacht'!C41)</f>
        <v>4900.402</v>
      </c>
      <c r="D33" s="10" t="inlineStr">
        <is>
          <t>Total ÷ days used</t>
        </is>
      </c>
    </row>
    <row r="34" ht="26" customHeight="1">
      <c r="B34" s="8" t="inlineStr">
        <is>
          <t>An engine hour</t>
        </is>
      </c>
      <c r="C34" s="24">
        <f>IF('Your yacht'!C42=0,"",C27/'Your yacht'!C42)</f>
        <v>1225.1005</v>
      </c>
      <c r="D34" s="10" t="inlineStr">
        <is>
          <t>Total ÷ engine hours</t>
        </is>
      </c>
    </row>
    <row r="35" ht="26" customHeight="1">
      <c r="B35" s="8" t="inlineStr">
        <is>
          <t>Fuel alone, an hour</t>
        </is>
      </c>
      <c r="C35" s="24">
        <f>'Your yacht'!C43*'Your yacht'!C44</f>
        <v>511.2</v>
      </c>
      <c r="D35" s="10" t="inlineStr">
        <is>
          <t>At cruise</t>
        </is>
      </c>
    </row>
    <row r="36" ht="26" customHeight="1">
      <c r="B36" s="8" t="inlineStr">
        <is>
          <t>As a share of her value</t>
        </is>
      </c>
      <c r="C36" s="26">
        <f>IF('Your yacht'!C8=0,"",C27/'Your yacht'!C8)</f>
        <v>0.10209170833333334</v>
      </c>
      <c r="D36" s="10" t="inlineStr">
        <is>
          <t>The old rule of thumb is 10% a year, 10% to 15% for larger or harder-used yachts</t>
        </is>
      </c>
    </row>
  </sheetData>
  <sheetProtection selectLockedCells="0" selectUnlockedCells="0" sheet="1" objects="0" insertRows="1" insertHyperlinks="1" autoFilter="1" scenarios="0" formatColumns="0" deleteColumns="1" insertColumns="1" pivotTables="1" deleteRows="1" formatCells="1" formatRows="0" sort="1"/>
  <printOptions horizontalCentered="1"/>
  <pageMargins left="0.5" right="0.5" top="1" bottom="1"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B2:D35"/>
  <sheetViews>
    <sheetView showGridLines="0" workbookViewId="0">
      <selection activeCell="A1" sqref="A1"/>
    </sheetView>
  </sheetViews>
  <sheetFormatPr baseColWidth="8" defaultRowHeight="15"/>
  <cols>
    <col width="3" customWidth="1" min="1" max="1"/>
    <col width="44" customWidth="1" min="2" max="2"/>
    <col width="16" customWidth="1" min="3" max="3"/>
    <col width="78" customWidth="1" min="4" max="4"/>
  </cols>
  <sheetData>
    <row r="1" ht="10" customHeight="1"/>
    <row r="2">
      <c r="B2" s="1" t="inlineStr">
        <is>
          <t>MARINE HQ  ·  RUNNING COST CALCULATOR</t>
        </is>
      </c>
    </row>
    <row r="3" ht="34" customHeight="1">
      <c r="B3" s="2" t="inlineStr">
        <is>
          <t>Trip</t>
        </is>
      </c>
    </row>
    <row r="4">
      <c r="B4" s="3" t="inlineStr">
        <is>
          <t>Price a passage before you go. Fuel burn, diesel price and generator burn come from the Your yacht tab.</t>
        </is>
      </c>
    </row>
    <row r="5" ht="12" customHeight="1"/>
    <row r="6" ht="20" customHeight="1">
      <c r="B6" s="4" t="inlineStr">
        <is>
          <t>THE PASSAGE</t>
        </is>
      </c>
      <c r="C6" s="7" t="n"/>
      <c r="D6" s="7" t="n"/>
    </row>
    <row r="7" ht="19" customHeight="1">
      <c r="B7" s="8" t="inlineStr">
        <is>
          <t>Distance one way, nautical miles</t>
        </is>
      </c>
      <c r="C7" s="9" t="n">
        <v>470</v>
      </c>
      <c r="D7" s="10" t="inlineStr">
        <is>
          <t>Starting figure: Gold Coast Seaway to Sydney Heads, about 470</t>
        </is>
      </c>
    </row>
    <row r="8" ht="19" customHeight="1">
      <c r="B8" s="8" t="inlineStr">
        <is>
          <t>Legs</t>
        </is>
      </c>
      <c r="C8" s="9" t="n">
        <v>1</v>
      </c>
      <c r="D8" s="10" t="inlineStr">
        <is>
          <t>1 for one way, 2 for there and back</t>
        </is>
      </c>
    </row>
    <row r="9" ht="19" customHeight="1">
      <c r="B9" s="8" t="inlineStr">
        <is>
          <t>Cruising speed, knots</t>
        </is>
      </c>
      <c r="C9" s="9" t="n">
        <v>20</v>
      </c>
      <c r="D9" s="10" t="inlineStr">
        <is>
          <t>The speed your fuel burn figure belongs to</t>
        </is>
      </c>
    </row>
    <row r="10" ht="19" customHeight="1">
      <c r="B10" s="8" t="inlineStr">
        <is>
          <t>Days away</t>
        </is>
      </c>
      <c r="C10" s="9" t="n">
        <v>5</v>
      </c>
      <c r="D10" s="10" t="inlineStr"/>
    </row>
    <row r="11" ht="19" customHeight="1">
      <c r="B11" s="8" t="inlineStr">
        <is>
          <t>Generator hours per day away</t>
        </is>
      </c>
      <c r="C11" s="9" t="n">
        <v>0</v>
      </c>
      <c r="D11" s="10" t="inlineStr"/>
    </row>
    <row r="12" ht="12" customHeight="1"/>
    <row r="13" ht="20" customHeight="1">
      <c r="B13" s="4" t="inlineStr">
        <is>
          <t>BERTHS, CREW AND PROVISIONS</t>
        </is>
      </c>
      <c r="C13" s="7" t="n"/>
      <c r="D13" s="7" t="n"/>
    </row>
    <row r="14" ht="19" customHeight="1">
      <c r="B14" s="8" t="inlineStr">
        <is>
          <t>Nights in a visiting berth</t>
        </is>
      </c>
      <c r="C14" s="9" t="n">
        <v>3</v>
      </c>
      <c r="D14" s="10" t="inlineStr"/>
    </row>
    <row r="15" ht="19" customHeight="1">
      <c r="B15" s="8" t="inlineStr">
        <is>
          <t>Visiting berth, per night</t>
        </is>
      </c>
      <c r="C15" s="11" t="n">
        <v>265</v>
      </c>
      <c r="D15" s="10" t="inlineStr">
        <is>
          <t>Marinas quote casual berths on request. Starting figure: Sydney Harbour Marina, to 23 m, December 2023</t>
        </is>
      </c>
    </row>
    <row r="16" ht="19" customHeight="1">
      <c r="B16" s="8" t="inlineStr">
        <is>
          <t>Skipper or crew, days</t>
        </is>
      </c>
      <c r="C16" s="9" t="n">
        <v>0</v>
      </c>
      <c r="D16" s="10" t="inlineStr">
        <is>
          <t>Include their travel days</t>
        </is>
      </c>
    </row>
    <row r="17" ht="19" customHeight="1">
      <c r="B17" s="8" t="inlineStr">
        <is>
          <t>Skipper or crew, per day</t>
        </is>
      </c>
      <c r="C17" s="11" t="n">
        <v>700</v>
      </c>
      <c r="D17" s="10" t="inlineStr">
        <is>
          <t>Published Australian delivery rates start at about $700 a day plus GST</t>
        </is>
      </c>
    </row>
    <row r="18" ht="19" customHeight="1">
      <c r="B18" s="8" t="inlineStr">
        <is>
          <t>People aboard</t>
        </is>
      </c>
      <c r="C18" s="9" t="n">
        <v>4</v>
      </c>
      <c r="D18" s="10" t="inlineStr"/>
    </row>
    <row r="19" ht="19" customHeight="1">
      <c r="B19" s="8" t="inlineStr">
        <is>
          <t>Provisions, per person per day</t>
        </is>
      </c>
      <c r="C19" s="11" t="n">
        <v>50</v>
      </c>
      <c r="D19" s="10" t="inlineStr">
        <is>
          <t>Allowance</t>
        </is>
      </c>
    </row>
    <row r="20" ht="19" customHeight="1">
      <c r="B20" s="8" t="inlineStr">
        <is>
          <t>Anything else for the trip</t>
        </is>
      </c>
      <c r="C20" s="11" t="n">
        <v>0</v>
      </c>
      <c r="D20" s="10" t="inlineStr">
        <is>
          <t>Crew flights, pilotage, permits</t>
        </is>
      </c>
    </row>
    <row r="21" ht="12" customHeight="1"/>
    <row r="22" ht="20" customHeight="1">
      <c r="B22" s="4" t="inlineStr">
        <is>
          <t>WHAT THE TRIP COSTS</t>
        </is>
      </c>
      <c r="C22" s="7" t="n"/>
      <c r="D22" s="7" t="n"/>
    </row>
    <row r="23" ht="19" customHeight="1">
      <c r="B23" s="8" t="inlineStr">
        <is>
          <t>Hours underway</t>
        </is>
      </c>
      <c r="C23" s="27">
        <f>IF(C9=0,0,C7*C8/C9)</f>
        <v>23.5</v>
      </c>
      <c r="D23" s="10" t="inlineStr">
        <is>
          <t>Distance × legs ÷ speed</t>
        </is>
      </c>
    </row>
    <row r="24" ht="19" customHeight="1">
      <c r="B24" s="8" t="inlineStr">
        <is>
          <t>Fuel, litres</t>
        </is>
      </c>
      <c r="C24" s="28">
        <f>C23*'Your yacht'!C43</f>
        <v>4230.0</v>
      </c>
      <c r="D24" s="10" t="inlineStr">
        <is>
          <t>Check her range against the longest leg, with a third in reserve</t>
        </is>
      </c>
    </row>
    <row r="25" ht="19" customHeight="1">
      <c r="B25" s="8" t="inlineStr">
        <is>
          <t>Fuel, main engines</t>
        </is>
      </c>
      <c r="C25" s="17">
        <f>C24*'Your yacht'!C44</f>
        <v>12013.199999999999</v>
      </c>
    </row>
    <row r="26" ht="19" customHeight="1">
      <c r="B26" s="8" t="inlineStr">
        <is>
          <t>Fuel, generator</t>
        </is>
      </c>
      <c r="C26" s="17">
        <f>C11*C10*'Your yacht'!C46*'Your yacht'!C44</f>
        <v>0.0</v>
      </c>
    </row>
    <row r="27" ht="19" customHeight="1">
      <c r="B27" s="8" t="inlineStr">
        <is>
          <t>Visiting berths</t>
        </is>
      </c>
      <c r="C27" s="17">
        <f>C14*C15</f>
        <v>795.0</v>
      </c>
    </row>
    <row r="28" ht="19" customHeight="1">
      <c r="B28" s="8" t="inlineStr">
        <is>
          <t>Skipper or crew</t>
        </is>
      </c>
      <c r="C28" s="17">
        <f>C16*C17</f>
        <v>0.0</v>
      </c>
    </row>
    <row r="29" ht="19" customHeight="1">
      <c r="B29" s="8" t="inlineStr">
        <is>
          <t>Provisions</t>
        </is>
      </c>
      <c r="C29" s="17">
        <f>C18*C19*C10</f>
        <v>1000.0</v>
      </c>
    </row>
    <row r="30" ht="19" customHeight="1">
      <c r="B30" s="8" t="inlineStr">
        <is>
          <t>Anything else</t>
        </is>
      </c>
      <c r="C30" s="17">
        <f>C20</f>
        <v>0.0</v>
      </c>
    </row>
    <row r="31" ht="20" customHeight="1">
      <c r="B31" s="19" t="inlineStr">
        <is>
          <t>Trip total</t>
        </is>
      </c>
      <c r="C31" s="20">
        <f>SUM(C25:C30)</f>
        <v>13808.199999999999</v>
      </c>
    </row>
    <row r="33" ht="19" customHeight="1">
      <c r="B33" s="8" t="inlineStr">
        <is>
          <t>A day away</t>
        </is>
      </c>
      <c r="C33" s="17">
        <f>IF(C10=0,"",C31/C10)</f>
        <v>2761.64</v>
      </c>
    </row>
    <row r="34" ht="19" customHeight="1">
      <c r="B34" s="8" t="inlineStr">
        <is>
          <t>A person</t>
        </is>
      </c>
      <c r="C34" s="17">
        <f>IF(C18=0,"",C31/C18)</f>
        <v>3452.0499999999997</v>
      </c>
    </row>
    <row r="35" ht="19" customHeight="1">
      <c r="B35" s="8" t="inlineStr">
        <is>
          <t>A nautical mile</t>
        </is>
      </c>
      <c r="C35" s="29">
        <f>IF(C7*C8=0,"",C31/(C7*C8))</f>
        <v>29.37914893617021</v>
      </c>
    </row>
  </sheetData>
  <sheetProtection selectLockedCells="0" selectUnlockedCells="0" sheet="1" objects="0" insertRows="1" insertHyperlinks="1" autoFilter="1" scenarios="0" formatColumns="0" deleteColumns="1" insertColumns="1" pivotTables="1" deleteRows="1" formatCells="1" formatRows="0" sort="1"/>
  <printOptions horizontalCentered="1"/>
  <pageMargins left="0.5" right="0.5" top="1" bottom="1"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B2:H19"/>
  <sheetViews>
    <sheetView showGridLines="0" workbookViewId="0">
      <selection activeCell="A1" sqref="A1"/>
    </sheetView>
  </sheetViews>
  <sheetFormatPr baseColWidth="8" defaultRowHeight="15"/>
  <cols>
    <col width="3" customWidth="1" min="1" max="1"/>
    <col width="30" customWidth="1" min="2" max="2"/>
    <col width="15" customWidth="1" min="3" max="3"/>
    <col width="15" customWidth="1" min="4" max="4"/>
    <col width="15" customWidth="1" min="5" max="5"/>
    <col width="15" customWidth="1" min="6" max="6"/>
    <col width="15" customWidth="1" min="7" max="7"/>
    <col width="15" customWidth="1" min="8" max="8"/>
  </cols>
  <sheetData>
    <row r="1" ht="10" customHeight="1"/>
    <row r="2">
      <c r="B2" s="1" t="inlineStr">
        <is>
          <t>MARINE HQ  ·  RUNNING COST CALCULATOR</t>
        </is>
      </c>
    </row>
    <row r="3" ht="34" customHeight="1">
      <c r="B3" s="2" t="inlineStr">
        <is>
          <t>Five years</t>
        </is>
      </c>
    </row>
    <row r="4">
      <c r="B4" s="3" t="inlineStr">
        <is>
          <t>Where the cost is heading, and what a major engine service does to the year it lands in.</t>
        </is>
      </c>
    </row>
    <row r="5" ht="12" customHeight="1"/>
    <row r="6" ht="20" customHeight="1">
      <c r="B6" s="4" t="inlineStr">
        <is>
          <t>ASSUMPTIONS</t>
        </is>
      </c>
      <c r="C6" s="7" t="n"/>
      <c r="D6" s="7" t="n"/>
      <c r="E6" s="7" t="n"/>
      <c r="F6" s="7" t="n"/>
      <c r="G6" s="7" t="n"/>
      <c r="H6" s="7" t="n"/>
    </row>
    <row r="7" ht="19" customHeight="1">
      <c r="B7" s="8" t="inlineStr">
        <is>
          <t>Costs rise each year by</t>
        </is>
      </c>
      <c r="C7" s="13" t="n">
        <v>0.04</v>
      </c>
      <c r="D7" s="10" t="inlineStr">
        <is>
          <t>Southport's 59 ft berth rose 13.8% in three years to May 2026, about 4.4% a year</t>
        </is>
      </c>
    </row>
    <row r="8" ht="19" customHeight="1">
      <c r="B8" s="8" t="inlineStr">
        <is>
          <t>Major engine service falls in year</t>
        </is>
      </c>
      <c r="C8" s="9" t="n">
        <v>0</v>
      </c>
      <c r="D8" s="10" t="inlineStr">
        <is>
          <t>1 to 5, or 0 for none. Injectors, aftercoolers and heat exchangers fall due around 1,000 hours</t>
        </is>
      </c>
    </row>
    <row r="9" ht="19" customHeight="1">
      <c r="B9" s="8" t="inlineStr">
        <is>
          <t>Major engine service, cost</t>
        </is>
      </c>
      <c r="C9" s="11" t="n">
        <v>0</v>
      </c>
      <c r="D9" s="10" t="inlineStr">
        <is>
          <t>Your engine dealer's quote</t>
        </is>
      </c>
    </row>
    <row r="10" ht="12" customHeight="1"/>
    <row r="11" ht="20" customHeight="1">
      <c r="B11" s="4" t="inlineStr">
        <is>
          <t>THE FIVE YEARS</t>
        </is>
      </c>
      <c r="C11" s="7" t="n"/>
      <c r="D11" s="7" t="n"/>
      <c r="E11" s="7" t="n"/>
      <c r="F11" s="7" t="n"/>
      <c r="G11" s="7" t="n"/>
      <c r="H11" s="7" t="n"/>
    </row>
    <row r="12">
      <c r="C12" s="30" t="inlineStr">
        <is>
          <t>YEAR 1</t>
        </is>
      </c>
      <c r="D12" s="30" t="inlineStr">
        <is>
          <t>YEAR 2</t>
        </is>
      </c>
      <c r="E12" s="30" t="inlineStr">
        <is>
          <t>YEAR 3</t>
        </is>
      </c>
      <c r="F12" s="30" t="inlineStr">
        <is>
          <t>YEAR 4</t>
        </is>
      </c>
      <c r="G12" s="30" t="inlineStr">
        <is>
          <t>YEAR 5</t>
        </is>
      </c>
      <c r="H12" s="30" t="inlineStr">
        <is>
          <t>FIVE YEARS</t>
        </is>
      </c>
    </row>
    <row r="13" ht="20" customHeight="1">
      <c r="B13" s="8" t="inlineStr">
        <is>
          <t>At the dock</t>
        </is>
      </c>
      <c r="C13" s="17">
        <f>'Annual cost'!C19*(1+$C$7)^0</f>
        <v>71390.05</v>
      </c>
      <c r="D13" s="17">
        <f>'Annual cost'!C19*(1+$C$7)^1</f>
        <v>74245.652</v>
      </c>
      <c r="E13" s="17">
        <f>'Annual cost'!C19*(1+$C$7)^2</f>
        <v>77215.47808000002</v>
      </c>
      <c r="F13" s="17">
        <f>'Annual cost'!C19*(1+$C$7)^3</f>
        <v>80304.09720320001</v>
      </c>
      <c r="G13" s="17">
        <f>'Annual cost'!C19*(1+$C$7)^4</f>
        <v>83516.26109132802</v>
      </c>
      <c r="H13" s="31">
        <f>SUM(C13:G13)</f>
        <v>386671.53837452806</v>
      </c>
    </row>
    <row r="14" ht="20" customHeight="1">
      <c r="B14" s="8" t="inlineStr">
        <is>
          <t>In use</t>
        </is>
      </c>
      <c r="C14" s="17">
        <f>'Annual cost'!C25*(1+$C$7)^0</f>
        <v>51120.0</v>
      </c>
      <c r="D14" s="17">
        <f>'Annual cost'!C25*(1+$C$7)^1</f>
        <v>53164.8</v>
      </c>
      <c r="E14" s="17">
        <f>'Annual cost'!C25*(1+$C$7)^2</f>
        <v>55291.39200000001</v>
      </c>
      <c r="F14" s="17">
        <f>'Annual cost'!C25*(1+$C$7)^3</f>
        <v>57503.04768</v>
      </c>
      <c r="G14" s="17">
        <f>'Annual cost'!C25*(1+$C$7)^4</f>
        <v>59803.16958720001</v>
      </c>
      <c r="H14" s="31">
        <f>SUM(C14:G14)</f>
        <v>276882.40926720004</v>
      </c>
    </row>
    <row r="15" ht="20" customHeight="1">
      <c r="B15" s="8" t="inlineStr">
        <is>
          <t>Major engine service</t>
        </is>
      </c>
      <c r="C15" s="17">
        <f>IF($C$8=1,$C$9,0)</f>
        <v>0.0</v>
      </c>
      <c r="D15" s="17">
        <f>IF($C$8=2,$C$9,0)</f>
        <v>0.0</v>
      </c>
      <c r="E15" s="17">
        <f>IF($C$8=3,$C$9,0)</f>
        <v>0.0</v>
      </c>
      <c r="F15" s="17">
        <f>IF($C$8=4,$C$9,0)</f>
        <v>0.0</v>
      </c>
      <c r="G15" s="17">
        <f>IF($C$8=5,$C$9,0)</f>
        <v>0.0</v>
      </c>
      <c r="H15" s="31">
        <f>SUM(C15:G15)</f>
        <v>0.0</v>
      </c>
    </row>
    <row r="16" ht="20" customHeight="1">
      <c r="B16" s="19" t="inlineStr">
        <is>
          <t>Total</t>
        </is>
      </c>
      <c r="C16" s="20">
        <f>SUM(C13:C15)</f>
        <v>122510.05</v>
      </c>
      <c r="D16" s="20">
        <f>SUM(D13:D15)</f>
        <v>127410.452</v>
      </c>
      <c r="E16" s="20">
        <f>SUM(E13:E15)</f>
        <v>132506.87008000002</v>
      </c>
      <c r="F16" s="20">
        <f>SUM(F13:F15)</f>
        <v>137807.1448832</v>
      </c>
      <c r="G16" s="20">
        <f>SUM(G13:G15)</f>
        <v>143319.43067852804</v>
      </c>
      <c r="H16" s="20">
        <f>SUM(C16:G16)</f>
        <v>663553.947641728</v>
      </c>
    </row>
    <row r="18" ht="19" customHeight="1">
      <c r="B18" s="8" t="inlineStr">
        <is>
          <t>Average a year</t>
        </is>
      </c>
      <c r="C18" s="17">
        <f>H16/5</f>
        <v>132710.7895283456</v>
      </c>
    </row>
    <row r="19" ht="19" customHeight="1">
      <c r="B19" s="8" t="inlineStr">
        <is>
          <t>Average a month</t>
        </is>
      </c>
      <c r="C19" s="17">
        <f>H16/60</f>
        <v>11059.232460695466</v>
      </c>
    </row>
  </sheetData>
  <sheetProtection selectLockedCells="0" selectUnlockedCells="0" sheet="1" objects="0" insertRows="1" insertHyperlinks="1" autoFilter="1" scenarios="0" formatColumns="0" deleteColumns="1" insertColumns="1" pivotTables="1" deleteRows="1" formatCells="1" formatRows="0" sort="1"/>
  <mergeCells count="3">
    <mergeCell ref="D7:H7"/>
    <mergeCell ref="D8:H8"/>
    <mergeCell ref="D9:H9"/>
  </mergeCells>
  <printOptions horizontalCentered="1"/>
  <pageMargins left="0.5" right="0.5" top="1" bottom="1"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fitToPage="1"/>
  </sheetPr>
  <dimension ref="B2:D26"/>
  <sheetViews>
    <sheetView showGridLines="0" workbookViewId="0">
      <selection activeCell="A1" sqref="A1"/>
    </sheetView>
  </sheetViews>
  <sheetFormatPr baseColWidth="8" defaultRowHeight="15"/>
  <cols>
    <col width="3" customWidth="1" min="1" max="1"/>
    <col width="34" customWidth="1" min="2" max="2"/>
    <col width="30" customWidth="1" min="3" max="3"/>
    <col width="74" customWidth="1" min="4" max="4"/>
  </cols>
  <sheetData>
    <row r="1" ht="10" customHeight="1"/>
    <row r="2">
      <c r="B2" s="1" t="inlineStr">
        <is>
          <t>MARINE HQ  ·  RUNNING COST CALCULATOR</t>
        </is>
      </c>
    </row>
    <row r="3" ht="34" customHeight="1">
      <c r="B3" s="2" t="inlineStr">
        <is>
          <t>Sources</t>
        </is>
      </c>
    </row>
    <row r="4">
      <c r="B4" s="3" t="inlineStr">
        <is>
          <t>Where each starting number comes from. Rates move; date any figure you rely on and replace it with your own quote.</t>
        </is>
      </c>
    </row>
    <row r="6">
      <c r="B6" s="4" t="inlineStr">
        <is>
          <t>STARTING NUMBER</t>
        </is>
      </c>
      <c r="C6" s="4" t="inlineStr">
        <is>
          <t>FIGURE</t>
        </is>
      </c>
      <c r="D6" s="4" t="inlineStr">
        <is>
          <t>WHERE IT COMES FROM</t>
        </is>
      </c>
    </row>
    <row r="7" ht="30" customHeight="1">
      <c r="B7" s="32" t="inlineStr">
        <is>
          <t>Berth</t>
        </is>
      </c>
      <c r="C7" s="33" t="inlineStr">
        <is>
          <t>$19,311 a year</t>
        </is>
      </c>
      <c r="D7" s="34" t="inlineStr">
        <is>
          <t>Southport Yacht Club berthing rates effective 1 May 2026: 59 ft single berth, 12-month Gold Member contract.</t>
        </is>
      </c>
    </row>
    <row r="8" ht="19" customHeight="1">
      <c r="B8" s="32" t="inlineStr">
        <is>
          <t>Shore power</t>
        </is>
      </c>
      <c r="C8" s="33" t="inlineStr">
        <is>
          <t>$1,500 a year</t>
        </is>
      </c>
      <c r="D8" s="34" t="inlineStr">
        <is>
          <t>Allowance, at about 35 cents a kilowatt-hour.</t>
        </is>
      </c>
    </row>
    <row r="9" ht="30" customHeight="1">
      <c r="B9" s="32" t="inlineStr">
        <is>
          <t>Insurance</t>
        </is>
      </c>
      <c r="C9" s="33" t="inlineStr">
        <is>
          <t>1.5% of insured value</t>
        </is>
      </c>
      <c r="D9" s="34" t="inlineStr">
        <is>
          <t>Australian boat insurance typically costs 1% to 3% of insured value a year. No insurer publishes a rate; use your own premium.</t>
        </is>
      </c>
    </row>
    <row r="10" ht="30" customHeight="1">
      <c r="B10" s="32" t="inlineStr">
        <is>
          <t>Registration</t>
        </is>
      </c>
      <c r="C10" s="33" t="inlineStr">
        <is>
          <t>$779.05 a year</t>
        </is>
      </c>
      <c r="D10" s="34" t="inlineStr">
        <is>
          <t>Queensland recreational vessel registration from 1 July 2026: over 10 to 15 m $628.60, over 15 to 20 m $779.05, over 20 m $980.25.</t>
        </is>
      </c>
    </row>
    <row r="11" ht="30" customHeight="1">
      <c r="B11" s="32" t="inlineStr">
        <is>
          <t>Antifoul and yard visit</t>
        </is>
      </c>
      <c r="C11" s="33" t="inlineStr">
        <is>
          <t>$10,000 a visit</t>
        </is>
      </c>
      <c r="D11" s="34" t="inlineStr">
        <is>
          <t>Allowance for a 60 ft yacht. The clearest published price is Gold Coast City Marina's package, from $89.50 a foot to 50 ft; above that every yard quotes.</t>
        </is>
      </c>
    </row>
    <row r="12" ht="30" customHeight="1">
      <c r="B12" s="32" t="inlineStr">
        <is>
          <t>Engine and generator servicing</t>
        </is>
      </c>
      <c r="C12" s="33" t="inlineStr">
        <is>
          <t>$8,000 a year</t>
        </is>
      </c>
      <c r="D12" s="34" t="inlineStr">
        <is>
          <t>Allowance for twin engines and one generator in a routine year. Australian guides publish $1,000 to $5,000 an engine.</t>
        </is>
      </c>
    </row>
    <row r="13" ht="19" customHeight="1">
      <c r="B13" s="32" t="inlineStr">
        <is>
          <t>Unplanned repairs</t>
        </is>
      </c>
      <c r="C13" s="33" t="inlineStr">
        <is>
          <t>$5,000 a year</t>
        </is>
      </c>
      <c r="D13" s="34" t="inlineStr">
        <is>
          <t>Upper end of the published $1,000 to $5,000 a year.</t>
        </is>
      </c>
    </row>
    <row r="14" ht="30" customHeight="1">
      <c r="B14" s="32" t="inlineStr">
        <is>
          <t>Wash-downs</t>
        </is>
      </c>
      <c r="C14" s="33" t="inlineStr">
        <is>
          <t>$5 a foot</t>
        </is>
      </c>
      <c r="D14" s="34" t="inlineStr">
        <is>
          <t>Published Sydney yard rate of $4.75 to $5.00 a foot for 41 to 60 ft. Gold Coast detailers quote on request.</t>
        </is>
      </c>
    </row>
    <row r="15" ht="19" customHeight="1">
      <c r="B15" s="32" t="inlineStr">
        <is>
          <t>Cut and polish</t>
        </is>
      </c>
      <c r="C15" s="33" t="inlineStr">
        <is>
          <t>$18 to $20 a foot</t>
        </is>
      </c>
      <c r="D15" s="34" t="inlineStr">
        <is>
          <t>Published Sydney yard rate. Set to 0 in the starting example.</t>
        </is>
      </c>
    </row>
    <row r="16" ht="19" customHeight="1">
      <c r="B16" s="32" t="inlineStr">
        <is>
          <t>Safety gear</t>
        </is>
      </c>
      <c r="C16" s="33" t="inlineStr">
        <is>
          <t>$1,000 a year</t>
        </is>
      </c>
      <c r="D16" s="34" t="inlineStr">
        <is>
          <t>Allowance.</t>
        </is>
      </c>
    </row>
    <row r="17" ht="30" customHeight="1">
      <c r="B17" s="32" t="inlineStr">
        <is>
          <t>Fuel burn</t>
        </is>
      </c>
      <c r="C17" s="33" t="inlineStr">
        <is>
          <t>180 litres an hour</t>
        </is>
      </c>
      <c r="D17" s="34" t="inlineStr">
        <is>
          <t>Published sea trials for 55 to 60 ft motor yachts at about 23 knots (Maritimo M55, Riviera 5400 and 6000).</t>
        </is>
      </c>
    </row>
    <row r="18" ht="19" customHeight="1">
      <c r="B18" s="32" t="inlineStr">
        <is>
          <t>Diesel</t>
        </is>
      </c>
      <c r="C18" s="33" t="inlineStr">
        <is>
          <t>$2.84 a litre</t>
        </is>
      </c>
      <c r="D18" s="34" t="inlineStr">
        <is>
          <t>Marina pump price, Royal Queensland Yacht Squadron, 3 September 2026.</t>
        </is>
      </c>
    </row>
    <row r="19" ht="19" customHeight="1">
      <c r="B19" s="32" t="inlineStr">
        <is>
          <t>Cost increases</t>
        </is>
      </c>
      <c r="C19" s="33" t="inlineStr">
        <is>
          <t>4% a year</t>
        </is>
      </c>
      <c r="D19" s="34" t="inlineStr">
        <is>
          <t>Southport Yacht Club's 59 ft double berth rose 13.8% between May 2023 and May 2026.</t>
        </is>
      </c>
    </row>
    <row r="20" ht="19" customHeight="1">
      <c r="B20" s="32" t="inlineStr">
        <is>
          <t>Passage distance</t>
        </is>
      </c>
      <c r="C20" s="33" t="inlineStr">
        <is>
          <t>470 nautical miles</t>
        </is>
      </c>
      <c r="D20" s="34" t="inlineStr">
        <is>
          <t>Gold Coast Seaway to Sydney Heads, approximately. Plot your own legs.</t>
        </is>
      </c>
    </row>
    <row r="21" ht="30" customHeight="1">
      <c r="B21" s="32" t="inlineStr">
        <is>
          <t>Visiting berth</t>
        </is>
      </c>
      <c r="C21" s="33" t="inlineStr">
        <is>
          <t>$265 a night</t>
        </is>
      </c>
      <c r="D21" s="34" t="inlineStr">
        <is>
          <t>Sydney Harbour Marina, Cockle Bay, berth to 23 m for 24 hours, December 2023. Shore power extra.</t>
        </is>
      </c>
    </row>
    <row r="22" ht="19" customHeight="1">
      <c r="B22" s="32" t="inlineStr">
        <is>
          <t>Skipper or crew</t>
        </is>
      </c>
      <c r="C22" s="33" t="inlineStr">
        <is>
          <t>$700 a day</t>
        </is>
      </c>
      <c r="D22" s="34" t="inlineStr">
        <is>
          <t>Published Australian yacht delivery rates start at about $700 a day plus GST.</t>
        </is>
      </c>
    </row>
    <row r="23" ht="19" customHeight="1">
      <c r="B23" s="32" t="inlineStr">
        <is>
          <t>Provisions</t>
        </is>
      </c>
      <c r="C23" s="33" t="inlineStr">
        <is>
          <t>$50 a person a day</t>
        </is>
      </c>
      <c r="D23" s="34" t="inlineStr">
        <is>
          <t>Allowance.</t>
        </is>
      </c>
    </row>
    <row r="25">
      <c r="B25" s="25" t="inlineStr">
        <is>
          <t>The full working, with links to every source, is in the guide: guides.marinehq.com.au/guides/cost-of-owning-a-yacht-gold-coast/</t>
        </is>
      </c>
    </row>
    <row r="26">
      <c r="B26" s="25" t="inlineStr">
        <is>
          <t>A planning tool, not a quote and not financial advice. MHQ-RC-001  ·  Version 1.0  ·  October 2026  ·  © Marine HQ</t>
        </is>
      </c>
    </row>
  </sheetData>
  <printOptions horizontalCentered="1"/>
  <pageMargins left="0.5" right="0.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Marine HQ</dc:creator>
  <dc:title xmlns:dc="http://purl.org/dc/elements/1.1/">Running Cost Calculator</dc:title>
  <dcterms:created xmlns:dcterms="http://purl.org/dc/terms/" xmlns:xsi="http://www.w3.org/2001/XMLSchema-instance" xsi:type="dcterms:W3CDTF">2026-10-04T03:19:28Z</dcterms:created>
  <dcterms:modified xmlns:dcterms="http://purl.org/dc/terms/" xmlns:xsi="http://www.w3.org/2001/XMLSchema-instance" xsi:type="dcterms:W3CDTF">2026-10-04T03:19:29Z</dcterms:modified>
</cp:coreProperties>
</file>