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5.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6.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7.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9.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0.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11.xml" ContentType="application/vnd.openxmlformats-officedocument.drawingml.chart+xml"/>
  <Override PartName="/xl/drawings/drawing54.xml" ContentType="application/vnd.openxmlformats-officedocument.drawing+xml"/>
  <Override PartName="/xl/charts/chart12.xml" ContentType="application/vnd.openxmlformats-officedocument.drawingml.chart+xml"/>
  <Override PartName="/xl/drawings/drawing55.xml" ContentType="application/vnd.openxmlformats-officedocument.drawing+xml"/>
  <Override PartName="/xl/charts/chart13.xml" ContentType="application/vnd.openxmlformats-officedocument.drawingml.chart+xml"/>
  <Override PartName="/xl/drawings/drawing56.xml" ContentType="application/vnd.openxmlformats-officedocument.drawing+xml"/>
  <Override PartName="/xl/charts/chart14.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15.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16.xml" ContentType="application/vnd.openxmlformats-officedocument.drawingml.chart+xml"/>
  <Override PartName="/xl/drawings/drawing69.xml" ContentType="application/vnd.openxmlformats-officedocument.drawing+xml"/>
  <Override PartName="/xl/charts/chart17.xml" ContentType="application/vnd.openxmlformats-officedocument.drawingml.chart+xml"/>
  <Override PartName="/xl/drawings/drawing70.xml" ContentType="application/vnd.openxmlformats-officedocument.drawing+xml"/>
  <Override PartName="/xl/charts/chart18.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19.xml" ContentType="application/vnd.openxmlformats-officedocument.drawingml.chart+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20.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harts/chart21.xml" ContentType="application/vnd.openxmlformats-officedocument.drawingml.chart+xml"/>
  <Override PartName="/xl/drawings/drawing105.xml" ContentType="application/vnd.openxmlformats-officedocument.drawing+xml"/>
  <Override PartName="/xl/drawings/drawing106.xml" ContentType="application/vnd.openxmlformats-officedocument.drawing+xml"/>
  <Override PartName="/xl/charts/chart22.xml" ContentType="application/vnd.openxmlformats-officedocument.drawingml.chart+xml"/>
  <Override PartName="/xl/drawings/drawing107.xml" ContentType="application/vnd.openxmlformats-officedocument.drawing+xml"/>
  <Override PartName="/xl/charts/chart23.xml" ContentType="application/vnd.openxmlformats-officedocument.drawingml.chart+xml"/>
  <Override PartName="/xl/drawings/drawing108.xml" ContentType="application/vnd.openxmlformats-officedocument.drawing+xml"/>
  <Override PartName="/xl/comments2.xml" ContentType="application/vnd.openxmlformats-officedocument.spreadsheetml.comments+xml"/>
  <Override PartName="/xl/drawings/drawing109.xml" ContentType="application/vnd.openxmlformats-officedocument.drawing+xml"/>
  <Override PartName="/xl/charts/chart24.xml" ContentType="application/vnd.openxmlformats-officedocument.drawingml.chart+xml"/>
  <Override PartName="/xl/drawings/drawing110.xml" ContentType="application/vnd.openxmlformats-officedocument.drawing+xml"/>
  <Override PartName="/xl/charts/chart25.xml" ContentType="application/vnd.openxmlformats-officedocument.drawingml.chart+xml"/>
  <Override PartName="/xl/drawings/drawing111.xml" ContentType="application/vnd.openxmlformats-officedocument.drawing+xml"/>
  <Override PartName="/xl/charts/chart26.xml" ContentType="application/vnd.openxmlformats-officedocument.drawingml.chart+xml"/>
  <Override PartName="/xl/drawings/drawing112.xml" ContentType="application/vnd.openxmlformats-officedocument.drawing+xml"/>
  <Override PartName="/xl/charts/chart27.xml" ContentType="application/vnd.openxmlformats-officedocument.drawingml.chart+xml"/>
  <Override PartName="/xl/drawings/drawing113.xml" ContentType="application/vnd.openxmlformats-officedocument.drawing+xml"/>
  <Override PartName="/xl/charts/chart28.xml" ContentType="application/vnd.openxmlformats-officedocument.drawingml.chart+xml"/>
  <Override PartName="/xl/drawings/drawing114.xml" ContentType="application/vnd.openxmlformats-officedocument.drawing+xml"/>
  <Override PartName="/xl/charts/chart29.xml" ContentType="application/vnd.openxmlformats-officedocument.drawingml.chart+xml"/>
  <Override PartName="/xl/drawings/drawing115.xml" ContentType="application/vnd.openxmlformats-officedocument.drawing+xml"/>
  <Override PartName="/xl/charts/chart30.xml" ContentType="application/vnd.openxmlformats-officedocument.drawingml.chart+xml"/>
  <Override PartName="/xl/drawings/drawing116.xml" ContentType="application/vnd.openxmlformats-officedocument.drawing+xml"/>
  <Override PartName="/xl/charts/chart31.xml" ContentType="application/vnd.openxmlformats-officedocument.drawingml.chart+xml"/>
  <Override PartName="/xl/drawings/drawing117.xml" ContentType="application/vnd.openxmlformats-officedocument.drawing+xml"/>
  <Override PartName="/xl/charts/chart3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d.docs.live.net/4291a1cc79d499c5/Desktop/"/>
    </mc:Choice>
  </mc:AlternateContent>
  <xr:revisionPtr revIDLastSave="576" documentId="13_ncr:1_{C091B1C4-87F0-45AA-9A9F-15F2C4BD93E0}" xr6:coauthVersionLast="47" xr6:coauthVersionMax="47" xr10:uidLastSave="{5DD20D9B-EB28-47C7-9A89-712074DC4E88}"/>
  <bookViews>
    <workbookView xWindow="-118" yWindow="-118" windowWidth="25370" windowHeight="13667" firstSheet="14" activeTab="16" xr2:uid="{00000000-000D-0000-FFFF-FFFF00000000}"/>
  </bookViews>
  <sheets>
    <sheet name="Single Income Analyzer" sheetId="1" r:id="rId1"/>
    <sheet name="Single Hedge Plan" sheetId="2" r:id="rId2"/>
    <sheet name="Cash Flow Snapshot Single)" sheetId="3" r:id="rId3"/>
    <sheet name="Single Recap" sheetId="4" r:id="rId4"/>
    <sheet name="Inflation Cal" sheetId="5" r:id="rId5"/>
    <sheet name="Cost of Living Calculator" sheetId="6" r:id="rId6"/>
    <sheet name="Del Asset Summary" sheetId="7" r:id="rId7"/>
    <sheet name="Mkt Slide 1" sheetId="8" r:id="rId8"/>
    <sheet name="Mkt Slide 2" sheetId="9" r:id="rId9"/>
    <sheet name="Spenddown calculator" sheetId="10" r:id="rId10"/>
    <sheet name="4% Rule" sheetId="11" r:id="rId11"/>
    <sheet name="Egan Goals" sheetId="12" r:id="rId12"/>
    <sheet name="Egan Asset Summary" sheetId="13" r:id="rId13"/>
    <sheet name="1017 Soc Green Sheet" sheetId="14" r:id="rId14"/>
    <sheet name="COVID-19" sheetId="15" r:id="rId15"/>
    <sheet name="Statement Soc Security" sheetId="16" r:id="rId16"/>
    <sheet name="Goals and Data" sheetId="17" r:id="rId17"/>
    <sheet name="Asset Summary" sheetId="18" r:id="rId18"/>
    <sheet name="Joint NP" sheetId="131" r:id="rId19"/>
    <sheet name="Joint NP Asset Alloc " sheetId="130" r:id="rId20"/>
    <sheet name="Single NP" sheetId="19" r:id="rId21"/>
    <sheet name="Single NP Asset Alloc" sheetId="20" r:id="rId22"/>
    <sheet name="Single Gold Asset Alloc" sheetId="22" r:id="rId23"/>
    <sheet name="Single Gold 179k" sheetId="129" r:id="rId24"/>
    <sheet name="Egan Silver 175k" sheetId="21" r:id="rId25"/>
    <sheet name="Alt Cash Flow  Snapshot No Plan" sheetId="23" r:id="rId26"/>
    <sheet name="F&amp;G Start April of 25 age 66" sheetId="24" r:id="rId27"/>
    <sheet name="A" sheetId="25" r:id="rId28"/>
    <sheet name="B Wellness" sheetId="26" r:id="rId29"/>
    <sheet name="Tax Growth Estate" sheetId="27" r:id="rId30"/>
    <sheet name="State Estate Tax" sheetId="28" r:id="rId31"/>
    <sheet name="Sheet1" sheetId="29" r:id="rId32"/>
    <sheet name="Sheet2" sheetId="30" r:id="rId33"/>
    <sheet name="IRA etc Federal Tax" sheetId="31" r:id="rId34"/>
    <sheet name="1111111111111111111111111111111" sheetId="32" r:id="rId35"/>
    <sheet name="Stem Delivery Asset Summary" sheetId="33" r:id="rId36"/>
    <sheet name="Stem Delivery Allocation" sheetId="34" r:id="rId37"/>
    <sheet name="Stem Comparison $415 Plan" sheetId="35" r:id="rId38"/>
    <sheet name="Stem $415k Ladder Plan" sheetId="36" r:id="rId39"/>
    <sheet name="Stem Gold Immediate Plan" sheetId="37" r:id="rId40"/>
    <sheet name="Stem Comparison Gold Plan 1" sheetId="38" r:id="rId41"/>
    <sheet name="Stem Gold Plan Allocation" sheetId="39" r:id="rId42"/>
    <sheet name="Stem Silver Infla Ladder Plan" sheetId="40" r:id="rId43"/>
    <sheet name="Stem Comparison Silver Plan" sheetId="41" r:id="rId44"/>
    <sheet name="Stem Silver Plan Allocation" sheetId="42" r:id="rId45"/>
    <sheet name="No Ladder Plan" sheetId="43" r:id="rId46"/>
    <sheet name="Ladder Plan" sheetId="44" r:id="rId47"/>
    <sheet name="Silver Plan &quot;2&quot;" sheetId="45" r:id="rId48"/>
    <sheet name="B" sheetId="46" r:id="rId49"/>
    <sheet name="B Allocation" sheetId="47" r:id="rId50"/>
    <sheet name="Platinum Plan" sheetId="48" r:id="rId51"/>
    <sheet name="Platinum Plan Allocation" sheetId="49" r:id="rId52"/>
    <sheet name="Donnas Survival No Plan" sheetId="50" r:id="rId53"/>
    <sheet name="Toms Survival No Plan" sheetId="51" r:id="rId54"/>
    <sheet name="No Plan Recap" sheetId="52" r:id="rId55"/>
    <sheet name="Hedge Plan A Joint" sheetId="53" r:id="rId56"/>
    <sheet name="Hedge Plan A Marys Survival" sheetId="54" r:id="rId57"/>
    <sheet name="Hedge Plan A Gregs Survival" sheetId="55" r:id="rId58"/>
    <sheet name="Hedge Plan B Joint" sheetId="56" r:id="rId59"/>
    <sheet name="Hedge Plan B Marys Survival" sheetId="57" r:id="rId60"/>
    <sheet name="Hedge Plan B Gregs Survival" sheetId="58" r:id="rId61"/>
    <sheet name="Hedge Plan B Recap" sheetId="59" r:id="rId62"/>
    <sheet name="Hedge Plan A Recap  (2)" sheetId="60" r:id="rId63"/>
    <sheet name="Hedge Plan 3 Snapshot" sheetId="61" r:id="rId64"/>
    <sheet name="Comparison Sheet" sheetId="62" r:id="rId65"/>
    <sheet name="FOUNDATION Gold Plan Recap" sheetId="63" r:id="rId66"/>
    <sheet name="Retirement Gold joint $400 Plan" sheetId="64" r:id="rId67"/>
    <sheet name="Cash Flow Income Snapshot" sheetId="65" r:id="rId68"/>
    <sheet name="Retirement Gold Her Surv" sheetId="66" r:id="rId69"/>
    <sheet name="Retirement Gold His Survival" sheetId="67" r:id="rId70"/>
    <sheet name="RG Gold Plan Recap" sheetId="68" r:id="rId71"/>
    <sheet name="Retirement Silver $300 Joint" sheetId="69" r:id="rId72"/>
    <sheet name="Retirement Silver Her Survival" sheetId="70" r:id="rId73"/>
    <sheet name="Retirement Silver His Survival" sheetId="71" r:id="rId74"/>
    <sheet name="FOUNDATION Silver $300 Joint" sheetId="72" r:id="rId75"/>
    <sheet name="FOUNDATION Silver Her Surv" sheetId="73" r:id="rId76"/>
    <sheet name="FOUNDATION Silver His Surv" sheetId="74" r:id="rId77"/>
    <sheet name="No Plan Recap  (2)" sheetId="75" r:id="rId78"/>
    <sheet name="Retirement Silver Plan Recap" sheetId="76" r:id="rId79"/>
    <sheet name="FOUNDATION Silver Plan Recap" sheetId="77" r:id="rId80"/>
    <sheet name="Platinum Fact Sheet" sheetId="78" r:id="rId81"/>
    <sheet name="Plan Recap" sheetId="79" r:id="rId82"/>
    <sheet name="Gold Fact Sheet" sheetId="80" r:id="rId83"/>
    <sheet name="Bronze Factoid" sheetId="81" r:id="rId84"/>
    <sheet name="Her Survival Gold" sheetId="82" r:id="rId85"/>
    <sheet name="5Yr Inflation Loss" sheetId="83" r:id="rId86"/>
    <sheet name="Assset Spend Down" sheetId="84" r:id="rId87"/>
    <sheet name="Her Survival Silver" sheetId="85" r:id="rId88"/>
    <sheet name="His Survival Silver" sheetId="86" r:id="rId89"/>
    <sheet name="His Survival Gold" sheetId="87" r:id="rId90"/>
    <sheet name="AS Silver changes" sheetId="88" r:id="rId91"/>
    <sheet name="AS Gold changes" sheetId="89" r:id="rId92"/>
    <sheet name="Platinum Factoid" sheetId="90" r:id="rId93"/>
    <sheet name="AS Platnium changes" sheetId="91" r:id="rId94"/>
    <sheet name="Joint Platinum Hybrid Plan" sheetId="92" r:id="rId95"/>
    <sheet name="Recap No Hybrid Plan" sheetId="93" r:id="rId96"/>
    <sheet name="Her Survival Platinum Plan" sheetId="94" r:id="rId97"/>
    <sheet name="His Survival Platinum Plan" sheetId="95" r:id="rId98"/>
    <sheet name="Scenario One" sheetId="96" r:id="rId99"/>
    <sheet name="Joint Timeline No Plan" sheetId="97" r:id="rId100"/>
    <sheet name="Her Survival No Plan" sheetId="98" r:id="rId101"/>
    <sheet name="His Survival No Plan" sheetId="99" r:id="rId102"/>
    <sheet name="Suitability" sheetId="100" r:id="rId103"/>
    <sheet name="AS with changes" sheetId="101" r:id="rId104"/>
    <sheet name="S&amp;P 500" sheetId="102" r:id="rId105"/>
    <sheet name="Green Money Sources" sheetId="103" r:id="rId106"/>
    <sheet name="Cover for Plan" sheetId="104" r:id="rId107"/>
    <sheet name="Plan 1" sheetId="105" r:id="rId108"/>
    <sheet name="4% Rule Cal P1" sheetId="106" r:id="rId109"/>
    <sheet name="Plan Comparisons" sheetId="107" r:id="rId110"/>
    <sheet name="Stocks Phase Two" sheetId="108" r:id="rId111"/>
    <sheet name="LTC Phase Three" sheetId="109" r:id="rId112"/>
    <sheet name="Suitability 2" sheetId="110" r:id="rId113"/>
    <sheet name="S&amp;P 1-10-16" sheetId="111" r:id="rId114"/>
    <sheet name="Source Data" sheetId="112" r:id="rId115"/>
    <sheet name="Plan B No Cost Recap" sheetId="113" r:id="rId116"/>
    <sheet name="Joint Plan B (2)" sheetId="114" r:id="rId117"/>
    <sheet name="1 to 10" sheetId="115" r:id="rId118"/>
    <sheet name="List 1 to 10" sheetId="116" r:id="rId119"/>
    <sheet name="Sheet10" sheetId="117" r:id="rId120"/>
    <sheet name="New Plan Split" sheetId="118" r:id="rId121"/>
    <sheet name="HiSD" sheetId="119" r:id="rId122"/>
    <sheet name="New ABC Allocation" sheetId="120" r:id="rId123"/>
    <sheet name="MRI -ABC Current Allocation" sheetId="121" r:id="rId124"/>
    <sheet name="The Plan" sheetId="122" r:id="rId125"/>
    <sheet name="Age 63 B No Inflation Plan  (2" sheetId="123" r:id="rId126"/>
    <sheet name="No Plan Results (2)" sheetId="124" r:id="rId127"/>
    <sheet name="Age 63 B No Inflation Plan" sheetId="125" r:id="rId128"/>
    <sheet name="With Inflation Adj Recap" sheetId="126" r:id="rId129"/>
    <sheet name="ABC Current Allocation" sheetId="127" r:id="rId130"/>
    <sheet name="No Inflation Recap" sheetId="128" r:id="rId131"/>
  </sheets>
  <externalReferences>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cp">ppy</definedName>
    <definedName name="inflation">HiSD!$D$12</definedName>
    <definedName name="inflation2" localSheetId="34">#REF!</definedName>
    <definedName name="inflation2" localSheetId="27">#REF!</definedName>
    <definedName name="inflation2" localSheetId="127">#REF!</definedName>
    <definedName name="inflation2" localSheetId="125">#REF!</definedName>
    <definedName name="inflation2" localSheetId="25">#REF!</definedName>
    <definedName name="inflation2" localSheetId="91">#REF!</definedName>
    <definedName name="inflation2" localSheetId="93">#REF!</definedName>
    <definedName name="inflation2" localSheetId="90">#REF!</definedName>
    <definedName name="inflation2" localSheetId="48">#REF!</definedName>
    <definedName name="inflation2" localSheetId="49">#REF!</definedName>
    <definedName name="inflation2" localSheetId="28">#REF!</definedName>
    <definedName name="inflation2" localSheetId="83">#REF!</definedName>
    <definedName name="inflation2" localSheetId="2">#REF!</definedName>
    <definedName name="inflation2" localSheetId="6">#REF!</definedName>
    <definedName name="inflation2" localSheetId="52">#REF!</definedName>
    <definedName name="inflation2" localSheetId="12">#REF!</definedName>
    <definedName name="inflation2" localSheetId="11">#REF!</definedName>
    <definedName name="inflation2" localSheetId="24">#REF!</definedName>
    <definedName name="inflation2" localSheetId="26">#REF!</definedName>
    <definedName name="inflation2" localSheetId="65">#REF!</definedName>
    <definedName name="inflation2" localSheetId="74">#REF!</definedName>
    <definedName name="inflation2" localSheetId="75">#REF!</definedName>
    <definedName name="inflation2" localSheetId="76">#REF!</definedName>
    <definedName name="inflation2" localSheetId="79">#REF!</definedName>
    <definedName name="inflation2" localSheetId="82">#REF!</definedName>
    <definedName name="inflation2" localSheetId="63">#REF!</definedName>
    <definedName name="inflation2" localSheetId="57">#REF!</definedName>
    <definedName name="inflation2" localSheetId="55">#REF!</definedName>
    <definedName name="inflation2" localSheetId="56">#REF!</definedName>
    <definedName name="inflation2" localSheetId="62">#REF!</definedName>
    <definedName name="inflation2" localSheetId="60">#REF!</definedName>
    <definedName name="inflation2" localSheetId="58">#REF!</definedName>
    <definedName name="inflation2" localSheetId="59">#REF!</definedName>
    <definedName name="inflation2" localSheetId="61">#REF!</definedName>
    <definedName name="inflation2" localSheetId="84">#REF!</definedName>
    <definedName name="inflation2" localSheetId="100">#REF!</definedName>
    <definedName name="inflation2" localSheetId="96">#REF!</definedName>
    <definedName name="inflation2" localSheetId="87">#REF!</definedName>
    <definedName name="inflation2" localSheetId="89">#REF!</definedName>
    <definedName name="inflation2" localSheetId="101">#REF!</definedName>
    <definedName name="inflation2" localSheetId="97">#REF!</definedName>
    <definedName name="inflation2" localSheetId="88">#REF!</definedName>
    <definedName name="inflation2" localSheetId="19">#REF!</definedName>
    <definedName name="inflation2" localSheetId="116">#REF!</definedName>
    <definedName name="inflation2" localSheetId="94">#REF!</definedName>
    <definedName name="inflation2" localSheetId="99">#REF!</definedName>
    <definedName name="inflation2" localSheetId="46">#REF!</definedName>
    <definedName name="inflation2" localSheetId="130">#REF!</definedName>
    <definedName name="inflation2" localSheetId="45">#REF!</definedName>
    <definedName name="inflation2" localSheetId="54">#REF!</definedName>
    <definedName name="inflation2" localSheetId="77">#REF!</definedName>
    <definedName name="inflation2" localSheetId="126">#REF!</definedName>
    <definedName name="inflation2" localSheetId="115">#REF!</definedName>
    <definedName name="inflation2" localSheetId="81">#REF!</definedName>
    <definedName name="inflation2" localSheetId="80">#REF!</definedName>
    <definedName name="inflation2" localSheetId="92">#REF!</definedName>
    <definedName name="inflation2" localSheetId="50">#REF!</definedName>
    <definedName name="inflation2" localSheetId="51">#REF!</definedName>
    <definedName name="inflation2" localSheetId="95">#REF!</definedName>
    <definedName name="inflation2" localSheetId="68">#REF!</definedName>
    <definedName name="inflation2" localSheetId="69">#REF!</definedName>
    <definedName name="inflation2" localSheetId="66">#REF!</definedName>
    <definedName name="inflation2" localSheetId="71">#REF!</definedName>
    <definedName name="inflation2" localSheetId="72">#REF!</definedName>
    <definedName name="inflation2" localSheetId="73">#REF!</definedName>
    <definedName name="inflation2" localSheetId="78">#REF!</definedName>
    <definedName name="inflation2" localSheetId="70">#REF!</definedName>
    <definedName name="inflation2" localSheetId="47">#REF!</definedName>
    <definedName name="inflation2" localSheetId="23">#REF!</definedName>
    <definedName name="inflation2" localSheetId="22">#REF!</definedName>
    <definedName name="inflation2" localSheetId="20">#REF!</definedName>
    <definedName name="inflation2" localSheetId="21">#REF!</definedName>
    <definedName name="inflation2" localSheetId="3">#REF!</definedName>
    <definedName name="inflation2" localSheetId="15">#REF!</definedName>
    <definedName name="inflation2" localSheetId="38">#REF!</definedName>
    <definedName name="inflation2" localSheetId="37">#REF!</definedName>
    <definedName name="inflation2" localSheetId="40">#REF!</definedName>
    <definedName name="inflation2" localSheetId="43">#REF!</definedName>
    <definedName name="inflation2" localSheetId="36">#REF!</definedName>
    <definedName name="inflation2" localSheetId="35">#REF!</definedName>
    <definedName name="inflation2" localSheetId="39">#REF!</definedName>
    <definedName name="inflation2" localSheetId="41">#REF!</definedName>
    <definedName name="inflation2" localSheetId="42">#REF!</definedName>
    <definedName name="inflation2" localSheetId="44">#REF!</definedName>
    <definedName name="inflation2" localSheetId="53">#REF!</definedName>
    <definedName name="inflation2" localSheetId="128">#REF!</definedName>
    <definedName name="inflation2">#REF!</definedName>
    <definedName name="manolaspenddown">ppy</definedName>
    <definedName name="MAXHerSurvival" localSheetId="34">#REF!</definedName>
    <definedName name="MAXHerSurvival" localSheetId="27">#REF!</definedName>
    <definedName name="MAXHerSurvival" localSheetId="127">#REF!</definedName>
    <definedName name="MAXHerSurvival" localSheetId="125">#REF!</definedName>
    <definedName name="MAXHerSurvival" localSheetId="25">#REF!</definedName>
    <definedName name="MAXHerSurvival" localSheetId="91">#REF!</definedName>
    <definedName name="MAXHerSurvival" localSheetId="93">#REF!</definedName>
    <definedName name="MAXHerSurvival" localSheetId="90">#REF!</definedName>
    <definedName name="MAXHerSurvival" localSheetId="48">#REF!</definedName>
    <definedName name="MAXHerSurvival" localSheetId="49">#REF!</definedName>
    <definedName name="MAXHerSurvival" localSheetId="28">#REF!</definedName>
    <definedName name="MAXHerSurvival" localSheetId="83">#REF!</definedName>
    <definedName name="MAXHerSurvival" localSheetId="2">#REF!</definedName>
    <definedName name="MAXHerSurvival" localSheetId="6">#REF!</definedName>
    <definedName name="MAXHerSurvival" localSheetId="52">#REF!</definedName>
    <definedName name="MAXHerSurvival" localSheetId="12">#REF!</definedName>
    <definedName name="MAXHerSurvival" localSheetId="11">#REF!</definedName>
    <definedName name="MAXHerSurvival" localSheetId="24">#REF!</definedName>
    <definedName name="MAXHerSurvival" localSheetId="26">#REF!</definedName>
    <definedName name="MAXHerSurvival" localSheetId="65">#REF!</definedName>
    <definedName name="MAXHerSurvival" localSheetId="74">#REF!</definedName>
    <definedName name="MAXHerSurvival" localSheetId="75">#REF!</definedName>
    <definedName name="MAXHerSurvival" localSheetId="76">#REF!</definedName>
    <definedName name="MAXHerSurvival" localSheetId="79">#REF!</definedName>
    <definedName name="MAXHerSurvival" localSheetId="82">#REF!</definedName>
    <definedName name="MAXHerSurvival" localSheetId="63">#REF!</definedName>
    <definedName name="MAXHerSurvival" localSheetId="57">#REF!</definedName>
    <definedName name="MAXHerSurvival" localSheetId="55">#REF!</definedName>
    <definedName name="MAXHerSurvival" localSheetId="56">#REF!</definedName>
    <definedName name="MAXHerSurvival" localSheetId="62">#REF!</definedName>
    <definedName name="MAXHerSurvival" localSheetId="60">#REF!</definedName>
    <definedName name="MAXHerSurvival" localSheetId="58">#REF!</definedName>
    <definedName name="MAXHerSurvival" localSheetId="59">#REF!</definedName>
    <definedName name="MAXHerSurvival" localSheetId="61">#REF!</definedName>
    <definedName name="MAXHerSurvival" localSheetId="84">#REF!</definedName>
    <definedName name="MAXHerSurvival" localSheetId="100">#REF!</definedName>
    <definedName name="MAXHerSurvival" localSheetId="96">#REF!</definedName>
    <definedName name="MAXHerSurvival" localSheetId="87">#REF!</definedName>
    <definedName name="MAXHerSurvival" localSheetId="89">#REF!</definedName>
    <definedName name="MAXHerSurvival" localSheetId="101">#REF!</definedName>
    <definedName name="MAXHerSurvival" localSheetId="97">#REF!</definedName>
    <definedName name="MAXHerSurvival" localSheetId="88">#REF!</definedName>
    <definedName name="MAXHerSurvival" localSheetId="19">#REF!</definedName>
    <definedName name="MAXHerSurvival" localSheetId="116">#REF!</definedName>
    <definedName name="MAXHerSurvival" localSheetId="94">#REF!</definedName>
    <definedName name="MAXHerSurvival" localSheetId="99">#REF!</definedName>
    <definedName name="MAXHerSurvival" localSheetId="46">#REF!</definedName>
    <definedName name="MAXHerSurvival" localSheetId="130">#REF!</definedName>
    <definedName name="MAXHerSurvival" localSheetId="45">#REF!</definedName>
    <definedName name="MAXHerSurvival" localSheetId="54">#REF!</definedName>
    <definedName name="MAXHerSurvival" localSheetId="77">#REF!</definedName>
    <definedName name="MAXHerSurvival" localSheetId="126">#REF!</definedName>
    <definedName name="MAXHerSurvival" localSheetId="115">#REF!</definedName>
    <definedName name="MAXHerSurvival" localSheetId="81">#REF!</definedName>
    <definedName name="MAXHerSurvival" localSheetId="80">#REF!</definedName>
    <definedName name="MAXHerSurvival" localSheetId="92">#REF!</definedName>
    <definedName name="MAXHerSurvival" localSheetId="50">#REF!</definedName>
    <definedName name="MAXHerSurvival" localSheetId="51">#REF!</definedName>
    <definedName name="MAXHerSurvival" localSheetId="95">#REF!</definedName>
    <definedName name="MAXHerSurvival" localSheetId="68">#REF!</definedName>
    <definedName name="MAXHerSurvival" localSheetId="69">#REF!</definedName>
    <definedName name="MAXHerSurvival" localSheetId="66">#REF!</definedName>
    <definedName name="MAXHerSurvival" localSheetId="71">#REF!</definedName>
    <definedName name="MAXHerSurvival" localSheetId="72">#REF!</definedName>
    <definedName name="MAXHerSurvival" localSheetId="73">#REF!</definedName>
    <definedName name="MAXHerSurvival" localSheetId="78">#REF!</definedName>
    <definedName name="MAXHerSurvival" localSheetId="70">#REF!</definedName>
    <definedName name="MAXHerSurvival" localSheetId="47">#REF!</definedName>
    <definedName name="MAXHerSurvival" localSheetId="23">#REF!</definedName>
    <definedName name="MAXHerSurvival" localSheetId="22">#REF!</definedName>
    <definedName name="MAXHerSurvival" localSheetId="20">#REF!</definedName>
    <definedName name="MAXHerSurvival" localSheetId="21">#REF!</definedName>
    <definedName name="MAXHerSurvival" localSheetId="3">#REF!</definedName>
    <definedName name="MAXHerSurvival" localSheetId="15">#REF!</definedName>
    <definedName name="MAXHerSurvival" localSheetId="38">#REF!</definedName>
    <definedName name="MAXHerSurvival" localSheetId="37">#REF!</definedName>
    <definedName name="MAXHerSurvival" localSheetId="40">#REF!</definedName>
    <definedName name="MAXHerSurvival" localSheetId="43">#REF!</definedName>
    <definedName name="MAXHerSurvival" localSheetId="36">#REF!</definedName>
    <definedName name="MAXHerSurvival" localSheetId="35">#REF!</definedName>
    <definedName name="MAXHerSurvival" localSheetId="39">#REF!</definedName>
    <definedName name="MAXHerSurvival" localSheetId="41">#REF!</definedName>
    <definedName name="MAXHerSurvival" localSheetId="42">#REF!</definedName>
    <definedName name="MAXHerSurvival" localSheetId="44">#REF!</definedName>
    <definedName name="MAXHerSurvival" localSheetId="53">#REF!</definedName>
    <definedName name="MAXHerSurvival" localSheetId="128">#REF!</definedName>
    <definedName name="MAXHerSurvival">#REF!</definedName>
    <definedName name="ppy">HiSD!$G$10</definedName>
    <definedName name="rate">HiSD!$D$8</definedName>
    <definedName name="rper">HiSD!$G$9</definedName>
    <definedName name="spenddown" localSheetId="34">#REF!</definedName>
    <definedName name="spenddown" localSheetId="27">#REF!</definedName>
    <definedName name="spenddown" localSheetId="127">#REF!</definedName>
    <definedName name="spenddown" localSheetId="125">#REF!</definedName>
    <definedName name="spenddown" localSheetId="25">#REF!</definedName>
    <definedName name="spenddown" localSheetId="91">#REF!</definedName>
    <definedName name="spenddown" localSheetId="93">#REF!</definedName>
    <definedName name="spenddown" localSheetId="90">#REF!</definedName>
    <definedName name="spenddown" localSheetId="48">#REF!</definedName>
    <definedName name="spenddown" localSheetId="49">#REF!</definedName>
    <definedName name="spenddown" localSheetId="28">#REF!</definedName>
    <definedName name="spenddown" localSheetId="83">#REF!</definedName>
    <definedName name="spenddown" localSheetId="2">#REF!</definedName>
    <definedName name="spenddown" localSheetId="6">#REF!</definedName>
    <definedName name="spenddown" localSheetId="52">#REF!</definedName>
    <definedName name="spenddown" localSheetId="12">#REF!</definedName>
    <definedName name="spenddown" localSheetId="11">#REF!</definedName>
    <definedName name="spenddown" localSheetId="24">#REF!</definedName>
    <definedName name="spenddown" localSheetId="26">#REF!</definedName>
    <definedName name="spenddown" localSheetId="65">#REF!</definedName>
    <definedName name="spenddown" localSheetId="74">#REF!</definedName>
    <definedName name="spenddown" localSheetId="75">#REF!</definedName>
    <definedName name="spenddown" localSheetId="76">#REF!</definedName>
    <definedName name="spenddown" localSheetId="79">#REF!</definedName>
    <definedName name="spenddown" localSheetId="82">#REF!</definedName>
    <definedName name="spenddown" localSheetId="63">#REF!</definedName>
    <definedName name="spenddown" localSheetId="57">#REF!</definedName>
    <definedName name="spenddown" localSheetId="55">#REF!</definedName>
    <definedName name="spenddown" localSheetId="56">#REF!</definedName>
    <definedName name="spenddown" localSheetId="62">#REF!</definedName>
    <definedName name="spenddown" localSheetId="60">#REF!</definedName>
    <definedName name="spenddown" localSheetId="58">#REF!</definedName>
    <definedName name="spenddown" localSheetId="59">#REF!</definedName>
    <definedName name="spenddown" localSheetId="61">#REF!</definedName>
    <definedName name="spenddown" localSheetId="84">#REF!</definedName>
    <definedName name="spenddown" localSheetId="100">#REF!</definedName>
    <definedName name="spenddown" localSheetId="96">#REF!</definedName>
    <definedName name="spenddown" localSheetId="87">#REF!</definedName>
    <definedName name="spenddown" localSheetId="89">#REF!</definedName>
    <definedName name="spenddown" localSheetId="101">#REF!</definedName>
    <definedName name="spenddown" localSheetId="97">#REF!</definedName>
    <definedName name="spenddown" localSheetId="88">#REF!</definedName>
    <definedName name="spenddown" localSheetId="19">#REF!</definedName>
    <definedName name="spenddown" localSheetId="116">#REF!</definedName>
    <definedName name="spenddown" localSheetId="94">#REF!</definedName>
    <definedName name="spenddown" localSheetId="99">#REF!</definedName>
    <definedName name="spenddown" localSheetId="46">#REF!</definedName>
    <definedName name="spenddown" localSheetId="130">#REF!</definedName>
    <definedName name="spenddown" localSheetId="45">#REF!</definedName>
    <definedName name="spenddown" localSheetId="54">#REF!</definedName>
    <definedName name="spenddown" localSheetId="77">#REF!</definedName>
    <definedName name="spenddown" localSheetId="126">#REF!</definedName>
    <definedName name="spenddown" localSheetId="115">#REF!</definedName>
    <definedName name="spenddown" localSheetId="81">#REF!</definedName>
    <definedName name="spenddown" localSheetId="80">#REF!</definedName>
    <definedName name="spenddown" localSheetId="92">#REF!</definedName>
    <definedName name="spenddown" localSheetId="50">#REF!</definedName>
    <definedName name="spenddown" localSheetId="51">#REF!</definedName>
    <definedName name="spenddown" localSheetId="95">#REF!</definedName>
    <definedName name="spenddown" localSheetId="68">#REF!</definedName>
    <definedName name="spenddown" localSheetId="69">#REF!</definedName>
    <definedName name="spenddown" localSheetId="66">#REF!</definedName>
    <definedName name="spenddown" localSheetId="71">#REF!</definedName>
    <definedName name="spenddown" localSheetId="72">#REF!</definedName>
    <definedName name="spenddown" localSheetId="73">#REF!</definedName>
    <definedName name="spenddown" localSheetId="78">#REF!</definedName>
    <definedName name="spenddown" localSheetId="70">#REF!</definedName>
    <definedName name="spenddown" localSheetId="47">#REF!</definedName>
    <definedName name="spenddown" localSheetId="23">#REF!</definedName>
    <definedName name="spenddown" localSheetId="22">#REF!</definedName>
    <definedName name="spenddown" localSheetId="20">#REF!</definedName>
    <definedName name="spenddown" localSheetId="21">#REF!</definedName>
    <definedName name="spenddown" localSheetId="3">#REF!</definedName>
    <definedName name="spenddown" localSheetId="15">#REF!</definedName>
    <definedName name="spenddown" localSheetId="38">#REF!</definedName>
    <definedName name="spenddown" localSheetId="37">#REF!</definedName>
    <definedName name="spenddown" localSheetId="40">#REF!</definedName>
    <definedName name="spenddown" localSheetId="43">#REF!</definedName>
    <definedName name="spenddown" localSheetId="36">#REF!</definedName>
    <definedName name="spenddown" localSheetId="35">#REF!</definedName>
    <definedName name="spenddown" localSheetId="39">#REF!</definedName>
    <definedName name="spenddown" localSheetId="41">#REF!</definedName>
    <definedName name="spenddown" localSheetId="42">#REF!</definedName>
    <definedName name="spenddown" localSheetId="44">#REF!</definedName>
    <definedName name="spenddown" localSheetId="53">#REF!</definedName>
    <definedName name="spenddown" localSheetId="128">#REF!</definedName>
    <definedName name="spenddown">#REF!</definedName>
    <definedName name="type">HiSD!$G$11</definedName>
    <definedName name="type2" localSheetId="34">#REF!</definedName>
    <definedName name="type2" localSheetId="27">#REF!</definedName>
    <definedName name="type2" localSheetId="127">#REF!</definedName>
    <definedName name="type2" localSheetId="125">#REF!</definedName>
    <definedName name="type2" localSheetId="25">#REF!</definedName>
    <definedName name="type2" localSheetId="91">#REF!</definedName>
    <definedName name="type2" localSheetId="93">#REF!</definedName>
    <definedName name="type2" localSheetId="90">#REF!</definedName>
    <definedName name="type2" localSheetId="48">#REF!</definedName>
    <definedName name="type2" localSheetId="49">#REF!</definedName>
    <definedName name="type2" localSheetId="28">#REF!</definedName>
    <definedName name="type2" localSheetId="83">#REF!</definedName>
    <definedName name="type2" localSheetId="2">#REF!</definedName>
    <definedName name="type2" localSheetId="6">#REF!</definedName>
    <definedName name="type2" localSheetId="52">#REF!</definedName>
    <definedName name="type2" localSheetId="12">#REF!</definedName>
    <definedName name="type2" localSheetId="11">#REF!</definedName>
    <definedName name="type2" localSheetId="24">#REF!</definedName>
    <definedName name="type2" localSheetId="26">#REF!</definedName>
    <definedName name="type2" localSheetId="65">#REF!</definedName>
    <definedName name="type2" localSheetId="74">#REF!</definedName>
    <definedName name="type2" localSheetId="75">#REF!</definedName>
    <definedName name="type2" localSheetId="76">#REF!</definedName>
    <definedName name="type2" localSheetId="79">#REF!</definedName>
    <definedName name="type2" localSheetId="82">#REF!</definedName>
    <definedName name="type2" localSheetId="63">#REF!</definedName>
    <definedName name="type2" localSheetId="57">#REF!</definedName>
    <definedName name="type2" localSheetId="55">#REF!</definedName>
    <definedName name="type2" localSheetId="56">#REF!</definedName>
    <definedName name="type2" localSheetId="62">#REF!</definedName>
    <definedName name="type2" localSheetId="60">#REF!</definedName>
    <definedName name="type2" localSheetId="58">#REF!</definedName>
    <definedName name="type2" localSheetId="59">#REF!</definedName>
    <definedName name="type2" localSheetId="61">#REF!</definedName>
    <definedName name="type2" localSheetId="84">#REF!</definedName>
    <definedName name="type2" localSheetId="100">#REF!</definedName>
    <definedName name="type2" localSheetId="96">#REF!</definedName>
    <definedName name="type2" localSheetId="87">#REF!</definedName>
    <definedName name="type2" localSheetId="89">#REF!</definedName>
    <definedName name="type2" localSheetId="101">#REF!</definedName>
    <definedName name="type2" localSheetId="97">#REF!</definedName>
    <definedName name="type2" localSheetId="88">#REF!</definedName>
    <definedName name="type2" localSheetId="19">#REF!</definedName>
    <definedName name="type2" localSheetId="116">#REF!</definedName>
    <definedName name="type2" localSheetId="94">#REF!</definedName>
    <definedName name="type2" localSheetId="99">#REF!</definedName>
    <definedName name="type2" localSheetId="46">#REF!</definedName>
    <definedName name="type2" localSheetId="130">#REF!</definedName>
    <definedName name="type2" localSheetId="45">#REF!</definedName>
    <definedName name="type2" localSheetId="54">#REF!</definedName>
    <definedName name="type2" localSheetId="77">#REF!</definedName>
    <definedName name="type2" localSheetId="126">#REF!</definedName>
    <definedName name="type2" localSheetId="115">#REF!</definedName>
    <definedName name="type2" localSheetId="81">#REF!</definedName>
    <definedName name="type2" localSheetId="80">#REF!</definedName>
    <definedName name="type2" localSheetId="92">#REF!</definedName>
    <definedName name="type2" localSheetId="50">#REF!</definedName>
    <definedName name="type2" localSheetId="51">#REF!</definedName>
    <definedName name="type2" localSheetId="95">#REF!</definedName>
    <definedName name="type2" localSheetId="68">#REF!</definedName>
    <definedName name="type2" localSheetId="69">#REF!</definedName>
    <definedName name="type2" localSheetId="66">#REF!</definedName>
    <definedName name="type2" localSheetId="71">#REF!</definedName>
    <definedName name="type2" localSheetId="72">#REF!</definedName>
    <definedName name="type2" localSheetId="73">#REF!</definedName>
    <definedName name="type2" localSheetId="78">#REF!</definedName>
    <definedName name="type2" localSheetId="70">#REF!</definedName>
    <definedName name="type2" localSheetId="47">#REF!</definedName>
    <definedName name="type2" localSheetId="23">#REF!</definedName>
    <definedName name="type2" localSheetId="22">#REF!</definedName>
    <definedName name="type2" localSheetId="20">#REF!</definedName>
    <definedName name="type2" localSheetId="21">#REF!</definedName>
    <definedName name="type2" localSheetId="3">#REF!</definedName>
    <definedName name="type2" localSheetId="15">#REF!</definedName>
    <definedName name="type2" localSheetId="38">#REF!</definedName>
    <definedName name="type2" localSheetId="37">#REF!</definedName>
    <definedName name="type2" localSheetId="40">#REF!</definedName>
    <definedName name="type2" localSheetId="43">#REF!</definedName>
    <definedName name="type2" localSheetId="36">#REF!</definedName>
    <definedName name="type2" localSheetId="35">#REF!</definedName>
    <definedName name="type2" localSheetId="39">#REF!</definedName>
    <definedName name="type2" localSheetId="41">#REF!</definedName>
    <definedName name="type2" localSheetId="42">#REF!</definedName>
    <definedName name="type2" localSheetId="44">#REF!</definedName>
    <definedName name="type2" localSheetId="53">#REF!</definedName>
    <definedName name="type2" localSheetId="128">#REF!</definedName>
    <definedName name="typ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9" l="1"/>
  <c r="D12" i="19"/>
  <c r="E10" i="19"/>
  <c r="G6" i="19"/>
  <c r="F4" i="19"/>
  <c r="G4" i="19" s="1"/>
  <c r="F3" i="19"/>
  <c r="G3" i="19" s="1"/>
  <c r="G3" i="131"/>
  <c r="J3" i="131" s="1"/>
  <c r="G10" i="17"/>
  <c r="G9" i="17"/>
  <c r="E87" i="17"/>
  <c r="D87" i="17"/>
  <c r="E10" i="131"/>
  <c r="G10" i="131" s="1"/>
  <c r="I10" i="131" s="1"/>
  <c r="N23" i="131" s="1"/>
  <c r="C90" i="17"/>
  <c r="C91" i="17"/>
  <c r="D13" i="131"/>
  <c r="I13" i="131" s="1"/>
  <c r="E21" i="131" s="1"/>
  <c r="D12" i="131"/>
  <c r="I12" i="131" s="1"/>
  <c r="D21" i="131" s="1"/>
  <c r="D80" i="17"/>
  <c r="D79" i="17"/>
  <c r="F4" i="131"/>
  <c r="G4" i="131" s="1"/>
  <c r="C23" i="131" s="1"/>
  <c r="C24" i="131" s="1"/>
  <c r="C25" i="131" s="1"/>
  <c r="C26" i="131" s="1"/>
  <c r="C27" i="131" s="1"/>
  <c r="C28" i="131" s="1"/>
  <c r="C29" i="131" s="1"/>
  <c r="C30" i="131" s="1"/>
  <c r="C31" i="131" s="1"/>
  <c r="C32" i="131" s="1"/>
  <c r="C33" i="131" s="1"/>
  <c r="C34" i="131" s="1"/>
  <c r="C35" i="131" s="1"/>
  <c r="C36" i="131" s="1"/>
  <c r="C37" i="131" s="1"/>
  <c r="C38" i="131" s="1"/>
  <c r="C39" i="131" s="1"/>
  <c r="C40" i="131" s="1"/>
  <c r="C41" i="131" s="1"/>
  <c r="C42" i="131" s="1"/>
  <c r="C43" i="131" s="1"/>
  <c r="C44" i="131" s="1"/>
  <c r="C49" i="131" s="1"/>
  <c r="C50" i="131" s="1"/>
  <c r="C51" i="131" s="1"/>
  <c r="C52" i="131" s="1"/>
  <c r="C54" i="131" s="1"/>
  <c r="C55" i="131" s="1"/>
  <c r="C56" i="131" s="1"/>
  <c r="C57" i="131" s="1"/>
  <c r="F3" i="131"/>
  <c r="C2" i="130"/>
  <c r="A2" i="130"/>
  <c r="M57" i="131"/>
  <c r="M56" i="131"/>
  <c r="M55" i="131"/>
  <c r="M54" i="131"/>
  <c r="M52" i="131"/>
  <c r="M51" i="131"/>
  <c r="M50" i="131"/>
  <c r="M49" i="131"/>
  <c r="M44" i="131"/>
  <c r="M43" i="131"/>
  <c r="M42" i="131"/>
  <c r="M41" i="131"/>
  <c r="M40" i="131"/>
  <c r="M39" i="131"/>
  <c r="M38" i="131"/>
  <c r="M37" i="131"/>
  <c r="M36" i="131"/>
  <c r="M35" i="131"/>
  <c r="M34" i="131"/>
  <c r="M33" i="131"/>
  <c r="M32" i="131"/>
  <c r="M31" i="131"/>
  <c r="M30" i="131"/>
  <c r="M29" i="131"/>
  <c r="M28" i="131"/>
  <c r="M27" i="131"/>
  <c r="M26" i="131"/>
  <c r="M25" i="131"/>
  <c r="M24" i="131"/>
  <c r="A24" i="131"/>
  <c r="A25" i="131" s="1"/>
  <c r="A26" i="131" s="1"/>
  <c r="A27" i="131" s="1"/>
  <c r="A28" i="131" s="1"/>
  <c r="A29" i="131" s="1"/>
  <c r="A30" i="131" s="1"/>
  <c r="A31" i="131" s="1"/>
  <c r="A32" i="131" s="1"/>
  <c r="A33" i="131" s="1"/>
  <c r="A34" i="131" s="1"/>
  <c r="A35" i="131" s="1"/>
  <c r="A36" i="131" s="1"/>
  <c r="A37" i="131" s="1"/>
  <c r="A38" i="131" s="1"/>
  <c r="A39" i="131" s="1"/>
  <c r="A40" i="131" s="1"/>
  <c r="A41" i="131" s="1"/>
  <c r="A42" i="131" s="1"/>
  <c r="A43" i="131" s="1"/>
  <c r="A44" i="131" s="1"/>
  <c r="A49" i="131" s="1"/>
  <c r="A50" i="131" s="1"/>
  <c r="A51" i="131" s="1"/>
  <c r="A52" i="131" s="1"/>
  <c r="A54" i="131" s="1"/>
  <c r="A55" i="131" s="1"/>
  <c r="A56" i="131" s="1"/>
  <c r="A57" i="131" s="1"/>
  <c r="M23" i="131"/>
  <c r="E20" i="131"/>
  <c r="D20" i="131"/>
  <c r="C4" i="131"/>
  <c r="J4" i="131" l="1"/>
  <c r="B23" i="131"/>
  <c r="B24" i="131" s="1"/>
  <c r="B25" i="131" s="1"/>
  <c r="B26" i="131" s="1"/>
  <c r="B27" i="131" s="1"/>
  <c r="B28" i="131" s="1"/>
  <c r="B29" i="131" s="1"/>
  <c r="B30" i="131" s="1"/>
  <c r="B31" i="131" s="1"/>
  <c r="B32" i="131" s="1"/>
  <c r="B33" i="131" s="1"/>
  <c r="B34" i="131" s="1"/>
  <c r="B35" i="131" s="1"/>
  <c r="B36" i="131" s="1"/>
  <c r="B37" i="131" s="1"/>
  <c r="B38" i="131" s="1"/>
  <c r="B39" i="131" s="1"/>
  <c r="B40" i="131" s="1"/>
  <c r="B41" i="131" s="1"/>
  <c r="B42" i="131" s="1"/>
  <c r="B43" i="131" s="1"/>
  <c r="B44" i="131" s="1"/>
  <c r="B49" i="131" s="1"/>
  <c r="B50" i="131" s="1"/>
  <c r="B51" i="131" s="1"/>
  <c r="B52" i="131" s="1"/>
  <c r="B54" i="131" s="1"/>
  <c r="B55" i="131" s="1"/>
  <c r="B56" i="131" s="1"/>
  <c r="B57" i="131" s="1"/>
  <c r="N54" i="131"/>
  <c r="N49" i="131"/>
  <c r="N41" i="131"/>
  <c r="O40" i="131" s="1"/>
  <c r="N37" i="131"/>
  <c r="O36" i="131" s="1"/>
  <c r="N33" i="131"/>
  <c r="O32" i="131" s="1"/>
  <c r="N29" i="131"/>
  <c r="O28" i="131" s="1"/>
  <c r="N25" i="131"/>
  <c r="O24" i="131" s="1"/>
  <c r="N55" i="131"/>
  <c r="N50" i="131"/>
  <c r="O49" i="131" s="1"/>
  <c r="N42" i="131"/>
  <c r="O41" i="131" s="1"/>
  <c r="N38" i="131"/>
  <c r="O37" i="131" s="1"/>
  <c r="N34" i="131"/>
  <c r="O33" i="131" s="1"/>
  <c r="N30" i="131"/>
  <c r="O29" i="131" s="1"/>
  <c r="N26" i="131"/>
  <c r="O25" i="131" s="1"/>
  <c r="N57" i="131"/>
  <c r="O57" i="131" s="1"/>
  <c r="N44" i="131"/>
  <c r="N32" i="131"/>
  <c r="N56" i="131"/>
  <c r="O56" i="131" s="1"/>
  <c r="N51" i="131"/>
  <c r="O50" i="131" s="1"/>
  <c r="N43" i="131"/>
  <c r="O42" i="131" s="1"/>
  <c r="N39" i="131"/>
  <c r="O38" i="131" s="1"/>
  <c r="N35" i="131"/>
  <c r="O34" i="131" s="1"/>
  <c r="N31" i="131"/>
  <c r="O30" i="131" s="1"/>
  <c r="N27" i="131"/>
  <c r="O26" i="131" s="1"/>
  <c r="N52" i="131"/>
  <c r="N40" i="131"/>
  <c r="N36" i="131"/>
  <c r="N28" i="131"/>
  <c r="O27" i="131" s="1"/>
  <c r="N24" i="131"/>
  <c r="O23" i="131" s="1"/>
  <c r="O39" i="131"/>
  <c r="O52" i="131"/>
  <c r="O31" i="131"/>
  <c r="O51" i="131"/>
  <c r="O35" i="131"/>
  <c r="O43" i="131"/>
  <c r="O44" i="131"/>
  <c r="O54" i="131" l="1"/>
  <c r="O55" i="131"/>
  <c r="K20" i="130" l="1"/>
  <c r="L16" i="130"/>
  <c r="K16" i="130"/>
  <c r="J16" i="130"/>
  <c r="L15" i="130"/>
  <c r="L17" i="130" s="1"/>
  <c r="J3" i="130"/>
  <c r="K15" i="130" s="1"/>
  <c r="K17" i="130" s="1"/>
  <c r="M56" i="129"/>
  <c r="O56" i="129" s="1"/>
  <c r="M55" i="129"/>
  <c r="O55" i="129" s="1"/>
  <c r="O54" i="129"/>
  <c r="M54" i="129"/>
  <c r="O53" i="129"/>
  <c r="M53" i="129"/>
  <c r="M51" i="129"/>
  <c r="O51" i="129" s="1"/>
  <c r="O50" i="129"/>
  <c r="M50" i="129"/>
  <c r="M49" i="129"/>
  <c r="O49" i="129" s="1"/>
  <c r="B49" i="129"/>
  <c r="B50" i="129" s="1"/>
  <c r="B51" i="129" s="1"/>
  <c r="B53" i="129" s="1"/>
  <c r="B54" i="129" s="1"/>
  <c r="B55" i="129" s="1"/>
  <c r="B56" i="129" s="1"/>
  <c r="O48" i="129"/>
  <c r="M48" i="129"/>
  <c r="C48" i="129"/>
  <c r="C49" i="129" s="1"/>
  <c r="C50" i="129" s="1"/>
  <c r="C51" i="129" s="1"/>
  <c r="C53" i="129" s="1"/>
  <c r="C54" i="129" s="1"/>
  <c r="C55" i="129" s="1"/>
  <c r="C56" i="129" s="1"/>
  <c r="B48" i="129"/>
  <c r="A48" i="129"/>
  <c r="A49" i="129" s="1"/>
  <c r="A50" i="129" s="1"/>
  <c r="A51" i="129" s="1"/>
  <c r="A53" i="129" s="1"/>
  <c r="A54" i="129" s="1"/>
  <c r="A55" i="129" s="1"/>
  <c r="A56" i="129" s="1"/>
  <c r="N43" i="129"/>
  <c r="M43" i="129"/>
  <c r="N42" i="129"/>
  <c r="M42" i="129"/>
  <c r="N41" i="129"/>
  <c r="M41" i="129"/>
  <c r="N40" i="129"/>
  <c r="M40" i="129"/>
  <c r="O40" i="129" s="1"/>
  <c r="N39" i="129"/>
  <c r="O38" i="129" s="1"/>
  <c r="M39" i="129"/>
  <c r="N38" i="129"/>
  <c r="M38" i="129"/>
  <c r="N37" i="129"/>
  <c r="M37" i="129"/>
  <c r="N36" i="129"/>
  <c r="M36" i="129"/>
  <c r="O36" i="129" s="1"/>
  <c r="N35" i="129"/>
  <c r="M35" i="129"/>
  <c r="N34" i="129"/>
  <c r="M34" i="129"/>
  <c r="N33" i="129"/>
  <c r="M33" i="129"/>
  <c r="O33" i="129" s="1"/>
  <c r="N32" i="129"/>
  <c r="M32" i="129"/>
  <c r="O32" i="129" s="1"/>
  <c r="N31" i="129"/>
  <c r="M31" i="129"/>
  <c r="N30" i="129"/>
  <c r="M30" i="129"/>
  <c r="N29" i="129"/>
  <c r="M29" i="129"/>
  <c r="O29" i="129" s="1"/>
  <c r="N28" i="129"/>
  <c r="M28" i="129"/>
  <c r="O28" i="129" s="1"/>
  <c r="N27" i="129"/>
  <c r="M27" i="129"/>
  <c r="N26" i="129"/>
  <c r="M26" i="129"/>
  <c r="N25" i="129"/>
  <c r="M25" i="129"/>
  <c r="O25" i="129" s="1"/>
  <c r="C25" i="129"/>
  <c r="C26" i="129" s="1"/>
  <c r="C27" i="129" s="1"/>
  <c r="C28" i="129" s="1"/>
  <c r="C29" i="129" s="1"/>
  <c r="C30" i="129" s="1"/>
  <c r="C31" i="129" s="1"/>
  <c r="C32" i="129" s="1"/>
  <c r="C33" i="129" s="1"/>
  <c r="C34" i="129" s="1"/>
  <c r="C35" i="129" s="1"/>
  <c r="C36" i="129" s="1"/>
  <c r="C37" i="129" s="1"/>
  <c r="C38" i="129" s="1"/>
  <c r="C39" i="129" s="1"/>
  <c r="C40" i="129" s="1"/>
  <c r="C41" i="129" s="1"/>
  <c r="C42" i="129" s="1"/>
  <c r="C43" i="129" s="1"/>
  <c r="N24" i="129"/>
  <c r="M24" i="129"/>
  <c r="C24" i="129"/>
  <c r="B24" i="129"/>
  <c r="B25" i="129" s="1"/>
  <c r="B26" i="129" s="1"/>
  <c r="B27" i="129" s="1"/>
  <c r="B28" i="129" s="1"/>
  <c r="B29" i="129" s="1"/>
  <c r="B30" i="129" s="1"/>
  <c r="B31" i="129" s="1"/>
  <c r="B32" i="129" s="1"/>
  <c r="B33" i="129" s="1"/>
  <c r="B34" i="129" s="1"/>
  <c r="B35" i="129" s="1"/>
  <c r="B36" i="129" s="1"/>
  <c r="B37" i="129" s="1"/>
  <c r="B38" i="129" s="1"/>
  <c r="B39" i="129" s="1"/>
  <c r="B40" i="129" s="1"/>
  <c r="B41" i="129" s="1"/>
  <c r="B42" i="129" s="1"/>
  <c r="B43" i="129" s="1"/>
  <c r="A24" i="129"/>
  <c r="A25" i="129" s="1"/>
  <c r="A26" i="129" s="1"/>
  <c r="A27" i="129" s="1"/>
  <c r="A28" i="129" s="1"/>
  <c r="A29" i="129" s="1"/>
  <c r="A30" i="129" s="1"/>
  <c r="A31" i="129" s="1"/>
  <c r="A32" i="129" s="1"/>
  <c r="A33" i="129" s="1"/>
  <c r="A34" i="129" s="1"/>
  <c r="A35" i="129" s="1"/>
  <c r="A36" i="129" s="1"/>
  <c r="A37" i="129" s="1"/>
  <c r="A38" i="129" s="1"/>
  <c r="A39" i="129" s="1"/>
  <c r="A40" i="129" s="1"/>
  <c r="A41" i="129" s="1"/>
  <c r="A42" i="129" s="1"/>
  <c r="A43" i="129" s="1"/>
  <c r="N23" i="129"/>
  <c r="M23" i="129"/>
  <c r="O23" i="129" s="1"/>
  <c r="D20" i="129"/>
  <c r="I13" i="129"/>
  <c r="I12" i="129"/>
  <c r="D21" i="129" s="1"/>
  <c r="G10" i="129"/>
  <c r="K7" i="129"/>
  <c r="I7" i="129"/>
  <c r="J4" i="129"/>
  <c r="C4" i="129"/>
  <c r="J3" i="129"/>
  <c r="K11" i="128"/>
  <c r="L9" i="128"/>
  <c r="L11" i="128" s="1"/>
  <c r="K9" i="128"/>
  <c r="J9" i="128"/>
  <c r="L15" i="128" s="1"/>
  <c r="L17" i="128" s="1"/>
  <c r="J3" i="128"/>
  <c r="L11" i="126"/>
  <c r="J3" i="126"/>
  <c r="L9" i="126" s="1"/>
  <c r="J17" i="125"/>
  <c r="J11" i="125"/>
  <c r="K9" i="125"/>
  <c r="K11" i="125" s="1"/>
  <c r="J9" i="125"/>
  <c r="L15" i="125" s="1"/>
  <c r="L17" i="125" s="1"/>
  <c r="J3" i="125"/>
  <c r="L9" i="125" s="1"/>
  <c r="L11" i="125" s="1"/>
  <c r="L9" i="124"/>
  <c r="L11" i="124" s="1"/>
  <c r="J9" i="124"/>
  <c r="J11" i="124" s="1"/>
  <c r="J3" i="124"/>
  <c r="K9" i="124" s="1"/>
  <c r="K11" i="124" s="1"/>
  <c r="B2" i="124"/>
  <c r="J17" i="123"/>
  <c r="J3" i="123"/>
  <c r="L9" i="123" s="1"/>
  <c r="L11" i="123" s="1"/>
  <c r="L22" i="122"/>
  <c r="K22" i="122"/>
  <c r="J22" i="122"/>
  <c r="L15" i="122"/>
  <c r="K15" i="122"/>
  <c r="J13" i="122"/>
  <c r="J15" i="122" s="1"/>
  <c r="B27" i="119"/>
  <c r="D17" i="119"/>
  <c r="G11" i="119"/>
  <c r="D27" i="119" s="1"/>
  <c r="G10" i="119"/>
  <c r="L11" i="118"/>
  <c r="K11" i="118"/>
  <c r="L9" i="118"/>
  <c r="K9" i="118"/>
  <c r="J9" i="118"/>
  <c r="L15" i="118" s="1"/>
  <c r="L17" i="118" s="1"/>
  <c r="A33" i="114"/>
  <c r="A34" i="114" s="1"/>
  <c r="A35" i="114" s="1"/>
  <c r="A36" i="114" s="1"/>
  <c r="A37" i="114" s="1"/>
  <c r="A38" i="114" s="1"/>
  <c r="E17" i="114"/>
  <c r="E18" i="114" s="1"/>
  <c r="E19" i="114" s="1"/>
  <c r="E20" i="114" s="1"/>
  <c r="E21" i="114" s="1"/>
  <c r="E22" i="114" s="1"/>
  <c r="E23" i="114" s="1"/>
  <c r="E24" i="114" s="1"/>
  <c r="E25" i="114" s="1"/>
  <c r="E26" i="114" s="1"/>
  <c r="E27" i="114" s="1"/>
  <c r="E28" i="114" s="1"/>
  <c r="E29" i="114" s="1"/>
  <c r="E30" i="114" s="1"/>
  <c r="E31" i="114" s="1"/>
  <c r="E32" i="114" s="1"/>
  <c r="E33" i="114" s="1"/>
  <c r="E34" i="114" s="1"/>
  <c r="E35" i="114" s="1"/>
  <c r="E36" i="114" s="1"/>
  <c r="E37" i="114" s="1"/>
  <c r="E38" i="114" s="1"/>
  <c r="D17" i="114"/>
  <c r="A17" i="114"/>
  <c r="A18" i="114" s="1"/>
  <c r="A19" i="114" s="1"/>
  <c r="A20" i="114" s="1"/>
  <c r="A21" i="114" s="1"/>
  <c r="A22" i="114" s="1"/>
  <c r="A23" i="114" s="1"/>
  <c r="A24" i="114" s="1"/>
  <c r="A25" i="114" s="1"/>
  <c r="A26" i="114" s="1"/>
  <c r="A27" i="114" s="1"/>
  <c r="A28" i="114" s="1"/>
  <c r="A29" i="114" s="1"/>
  <c r="A30" i="114" s="1"/>
  <c r="A31" i="114" s="1"/>
  <c r="A32" i="114" s="1"/>
  <c r="E16" i="114"/>
  <c r="D16" i="114"/>
  <c r="N16" i="114" s="1"/>
  <c r="B16" i="114"/>
  <c r="B17" i="114" s="1"/>
  <c r="B18" i="114" s="1"/>
  <c r="B19" i="114" s="1"/>
  <c r="B20" i="114" s="1"/>
  <c r="B21" i="114" s="1"/>
  <c r="B22" i="114" s="1"/>
  <c r="B23" i="114" s="1"/>
  <c r="B24" i="114" s="1"/>
  <c r="B25" i="114" s="1"/>
  <c r="B26" i="114" s="1"/>
  <c r="B27" i="114" s="1"/>
  <c r="B28" i="114" s="1"/>
  <c r="B29" i="114" s="1"/>
  <c r="B30" i="114" s="1"/>
  <c r="B31" i="114" s="1"/>
  <c r="B32" i="114" s="1"/>
  <c r="B33" i="114" s="1"/>
  <c r="B34" i="114" s="1"/>
  <c r="B35" i="114" s="1"/>
  <c r="B36" i="114" s="1"/>
  <c r="B37" i="114" s="1"/>
  <c r="B38" i="114" s="1"/>
  <c r="N15" i="114"/>
  <c r="D14" i="114"/>
  <c r="N14" i="114" s="1"/>
  <c r="N13" i="114"/>
  <c r="A13" i="114"/>
  <c r="A14" i="114" s="1"/>
  <c r="A15" i="114" s="1"/>
  <c r="A16" i="114" s="1"/>
  <c r="N12" i="114"/>
  <c r="C12" i="114"/>
  <c r="C13" i="114" s="1"/>
  <c r="C14" i="114" s="1"/>
  <c r="C15" i="114" s="1"/>
  <c r="C16" i="114" s="1"/>
  <c r="C17" i="114" s="1"/>
  <c r="C18" i="114" s="1"/>
  <c r="C19" i="114" s="1"/>
  <c r="C20" i="114" s="1"/>
  <c r="C21" i="114" s="1"/>
  <c r="C22" i="114" s="1"/>
  <c r="C23" i="114" s="1"/>
  <c r="C24" i="114" s="1"/>
  <c r="C25" i="114" s="1"/>
  <c r="C26" i="114" s="1"/>
  <c r="C27" i="114" s="1"/>
  <c r="C28" i="114" s="1"/>
  <c r="C29" i="114" s="1"/>
  <c r="C30" i="114" s="1"/>
  <c r="C31" i="114" s="1"/>
  <c r="C32" i="114" s="1"/>
  <c r="C33" i="114" s="1"/>
  <c r="C34" i="114" s="1"/>
  <c r="C35" i="114" s="1"/>
  <c r="C36" i="114" s="1"/>
  <c r="C37" i="114" s="1"/>
  <c r="C38" i="114" s="1"/>
  <c r="A12" i="114"/>
  <c r="N11" i="114"/>
  <c r="C11" i="114"/>
  <c r="B11" i="114"/>
  <c r="B12" i="114" s="1"/>
  <c r="B13" i="114" s="1"/>
  <c r="B14" i="114" s="1"/>
  <c r="B15" i="114" s="1"/>
  <c r="N9" i="114"/>
  <c r="N6" i="114"/>
  <c r="N5" i="114"/>
  <c r="N3" i="114"/>
  <c r="N2" i="114"/>
  <c r="E2" i="114" a="1"/>
  <c r="E2" i="114" s="1"/>
  <c r="J3" i="113"/>
  <c r="B12" i="112"/>
  <c r="B4" i="112"/>
  <c r="Q91" i="110"/>
  <c r="R88" i="110"/>
  <c r="Q88" i="110"/>
  <c r="R80" i="110"/>
  <c r="Q80" i="110"/>
  <c r="R58" i="110"/>
  <c r="Q58" i="110"/>
  <c r="Q45" i="110"/>
  <c r="R31" i="110"/>
  <c r="Q31" i="110"/>
  <c r="E28" i="106"/>
  <c r="E26" i="106"/>
  <c r="E24" i="106"/>
  <c r="E22" i="106"/>
  <c r="E20" i="106"/>
  <c r="E18" i="106"/>
  <c r="E16" i="106"/>
  <c r="E14" i="106"/>
  <c r="E12" i="106"/>
  <c r="E10" i="106"/>
  <c r="F4" i="106"/>
  <c r="O55" i="101"/>
  <c r="O52" i="101"/>
  <c r="M52" i="101"/>
  <c r="M51" i="101"/>
  <c r="M50" i="101"/>
  <c r="O43" i="101"/>
  <c r="M33" i="101"/>
  <c r="O34" i="101" s="1"/>
  <c r="M31" i="101"/>
  <c r="M17" i="101"/>
  <c r="O18" i="101" s="1"/>
  <c r="O36" i="101" s="1"/>
  <c r="O54" i="101" s="1"/>
  <c r="O56" i="101" s="1"/>
  <c r="B2" i="101"/>
  <c r="Q45" i="100"/>
  <c r="N37" i="99"/>
  <c r="D36" i="99"/>
  <c r="D37" i="99" s="1"/>
  <c r="D38" i="99" s="1"/>
  <c r="N38" i="99" s="1"/>
  <c r="N35" i="99"/>
  <c r="D35" i="99"/>
  <c r="N34" i="99"/>
  <c r="N33" i="99"/>
  <c r="N32" i="99"/>
  <c r="N31" i="99"/>
  <c r="N30" i="99"/>
  <c r="N29" i="99"/>
  <c r="N28" i="99"/>
  <c r="N27" i="99"/>
  <c r="N26" i="99"/>
  <c r="N25" i="99"/>
  <c r="N24" i="99"/>
  <c r="N23" i="99"/>
  <c r="N22" i="99"/>
  <c r="N21" i="99"/>
  <c r="N20" i="99"/>
  <c r="N19" i="99"/>
  <c r="N18" i="99"/>
  <c r="N17" i="99"/>
  <c r="N16" i="99"/>
  <c r="N15" i="99"/>
  <c r="N14" i="99"/>
  <c r="N13" i="99"/>
  <c r="N12" i="99"/>
  <c r="A12" i="99"/>
  <c r="A13" i="99" s="1"/>
  <c r="A14" i="99" s="1"/>
  <c r="A15" i="99" s="1"/>
  <c r="A16" i="99" s="1"/>
  <c r="A17" i="99" s="1"/>
  <c r="A18" i="99" s="1"/>
  <c r="A19" i="99" s="1"/>
  <c r="A20" i="99" s="1"/>
  <c r="A21" i="99" s="1"/>
  <c r="A22" i="99" s="1"/>
  <c r="A23" i="99" s="1"/>
  <c r="A24" i="99" s="1"/>
  <c r="A25" i="99" s="1"/>
  <c r="A26" i="99" s="1"/>
  <c r="A27" i="99" s="1"/>
  <c r="A28" i="99" s="1"/>
  <c r="A29" i="99" s="1"/>
  <c r="A30" i="99" s="1"/>
  <c r="A31" i="99" s="1"/>
  <c r="A32" i="99" s="1"/>
  <c r="A33" i="99" s="1"/>
  <c r="A34" i="99" s="1"/>
  <c r="A35" i="99" s="1"/>
  <c r="A36" i="99" s="1"/>
  <c r="A37" i="99" s="1"/>
  <c r="A38" i="99" s="1"/>
  <c r="N11" i="99"/>
  <c r="B11" i="99"/>
  <c r="B12" i="99" s="1"/>
  <c r="B13" i="99" s="1"/>
  <c r="B14" i="99" s="1"/>
  <c r="B15" i="99" s="1"/>
  <c r="B16" i="99" s="1"/>
  <c r="B17" i="99" s="1"/>
  <c r="B18" i="99" s="1"/>
  <c r="B19" i="99" s="1"/>
  <c r="B20" i="99" s="1"/>
  <c r="B21" i="99" s="1"/>
  <c r="B22" i="99" s="1"/>
  <c r="B23" i="99" s="1"/>
  <c r="B24" i="99" s="1"/>
  <c r="B25" i="99" s="1"/>
  <c r="B26" i="99" s="1"/>
  <c r="B27" i="99" s="1"/>
  <c r="B28" i="99" s="1"/>
  <c r="B29" i="99" s="1"/>
  <c r="B30" i="99" s="1"/>
  <c r="B31" i="99" s="1"/>
  <c r="B32" i="99" s="1"/>
  <c r="B33" i="99" s="1"/>
  <c r="B34" i="99" s="1"/>
  <c r="B35" i="99" s="1"/>
  <c r="B36" i="99" s="1"/>
  <c r="B37" i="99" s="1"/>
  <c r="B38" i="99" s="1"/>
  <c r="N9" i="99"/>
  <c r="N6" i="99"/>
  <c r="M6" i="99"/>
  <c r="N5" i="99"/>
  <c r="M5" i="99"/>
  <c r="N3" i="99"/>
  <c r="N2" i="99"/>
  <c r="E2" i="99" a="1"/>
  <c r="E2" i="99" s="1"/>
  <c r="N1" i="99"/>
  <c r="A33" i="98"/>
  <c r="A34" i="98" s="1"/>
  <c r="A35" i="98" s="1"/>
  <c r="A36" i="98" s="1"/>
  <c r="A37" i="98" s="1"/>
  <c r="A38" i="98" s="1"/>
  <c r="D32" i="98"/>
  <c r="N32" i="98" s="1"/>
  <c r="N30" i="98"/>
  <c r="N29" i="98"/>
  <c r="D29" i="98"/>
  <c r="D30" i="98" s="1"/>
  <c r="D31" i="98" s="1"/>
  <c r="N31" i="98" s="1"/>
  <c r="N28" i="98"/>
  <c r="N27" i="98"/>
  <c r="N26" i="98"/>
  <c r="N25" i="98"/>
  <c r="N24" i="98"/>
  <c r="N23" i="98"/>
  <c r="N22" i="98"/>
  <c r="N21" i="98"/>
  <c r="C21" i="98"/>
  <c r="C22" i="98" s="1"/>
  <c r="C23" i="98" s="1"/>
  <c r="C24" i="98" s="1"/>
  <c r="C25" i="98" s="1"/>
  <c r="C26" i="98" s="1"/>
  <c r="C27" i="98" s="1"/>
  <c r="C28" i="98" s="1"/>
  <c r="C29" i="98" s="1"/>
  <c r="C30" i="98" s="1"/>
  <c r="C31" i="98" s="1"/>
  <c r="C32" i="98" s="1"/>
  <c r="C33" i="98" s="1"/>
  <c r="C34" i="98" s="1"/>
  <c r="C35" i="98" s="1"/>
  <c r="C36" i="98" s="1"/>
  <c r="C37" i="98" s="1"/>
  <c r="C38" i="98" s="1"/>
  <c r="N20" i="98"/>
  <c r="N19" i="98"/>
  <c r="N18" i="98"/>
  <c r="A18" i="98"/>
  <c r="A19" i="98" s="1"/>
  <c r="A20" i="98" s="1"/>
  <c r="A21" i="98" s="1"/>
  <c r="A22" i="98" s="1"/>
  <c r="A23" i="98" s="1"/>
  <c r="A24" i="98" s="1"/>
  <c r="A25" i="98" s="1"/>
  <c r="A26" i="98" s="1"/>
  <c r="A27" i="98" s="1"/>
  <c r="A28" i="98" s="1"/>
  <c r="A29" i="98" s="1"/>
  <c r="A30" i="98" s="1"/>
  <c r="A31" i="98" s="1"/>
  <c r="A32" i="98" s="1"/>
  <c r="N17" i="98"/>
  <c r="N16" i="98"/>
  <c r="N15" i="98"/>
  <c r="B15" i="98"/>
  <c r="B16" i="98" s="1"/>
  <c r="B17" i="98" s="1"/>
  <c r="B18" i="98" s="1"/>
  <c r="B19" i="98" s="1"/>
  <c r="B20" i="98" s="1"/>
  <c r="B21" i="98" s="1"/>
  <c r="B22" i="98" s="1"/>
  <c r="B23" i="98" s="1"/>
  <c r="B24" i="98" s="1"/>
  <c r="B25" i="98" s="1"/>
  <c r="B26" i="98" s="1"/>
  <c r="B27" i="98" s="1"/>
  <c r="B28" i="98" s="1"/>
  <c r="B29" i="98" s="1"/>
  <c r="B30" i="98" s="1"/>
  <c r="B31" i="98" s="1"/>
  <c r="B32" i="98" s="1"/>
  <c r="B33" i="98" s="1"/>
  <c r="B34" i="98" s="1"/>
  <c r="B35" i="98" s="1"/>
  <c r="B36" i="98" s="1"/>
  <c r="B37" i="98" s="1"/>
  <c r="B38" i="98" s="1"/>
  <c r="N14" i="98"/>
  <c r="A14" i="98"/>
  <c r="A15" i="98" s="1"/>
  <c r="A16" i="98" s="1"/>
  <c r="A17" i="98" s="1"/>
  <c r="N13" i="98"/>
  <c r="C13" i="98"/>
  <c r="C14" i="98" s="1"/>
  <c r="C15" i="98" s="1"/>
  <c r="C16" i="98" s="1"/>
  <c r="C17" i="98" s="1"/>
  <c r="C18" i="98" s="1"/>
  <c r="C19" i="98" s="1"/>
  <c r="C20" i="98" s="1"/>
  <c r="N12" i="98"/>
  <c r="A12" i="98"/>
  <c r="A13" i="98" s="1"/>
  <c r="N11" i="98"/>
  <c r="C11" i="98"/>
  <c r="C12" i="98" s="1"/>
  <c r="B11" i="98"/>
  <c r="B12" i="98" s="1"/>
  <c r="B13" i="98" s="1"/>
  <c r="B14" i="98" s="1"/>
  <c r="N9" i="98"/>
  <c r="N6" i="98"/>
  <c r="M6" i="98"/>
  <c r="N5" i="98"/>
  <c r="M5" i="98"/>
  <c r="N3" i="98"/>
  <c r="N2" i="98"/>
  <c r="E2" i="98" a="1"/>
  <c r="E2" i="98" s="1"/>
  <c r="N1" i="98"/>
  <c r="N38" i="97"/>
  <c r="N37" i="97"/>
  <c r="N36" i="97"/>
  <c r="N35" i="97"/>
  <c r="N34" i="97"/>
  <c r="N33" i="97"/>
  <c r="N32" i="97"/>
  <c r="N31" i="97"/>
  <c r="N30" i="97"/>
  <c r="N29" i="97"/>
  <c r="N28" i="97"/>
  <c r="N27" i="97"/>
  <c r="N26" i="97"/>
  <c r="N25" i="97"/>
  <c r="N24" i="97"/>
  <c r="N23" i="97"/>
  <c r="N22" i="97"/>
  <c r="N21" i="97"/>
  <c r="N20" i="97"/>
  <c r="N19" i="97"/>
  <c r="N18" i="97"/>
  <c r="N17" i="97"/>
  <c r="N16" i="97"/>
  <c r="A16" i="97"/>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N15" i="97"/>
  <c r="N14" i="97"/>
  <c r="N13" i="97"/>
  <c r="N12" i="97"/>
  <c r="B12" i="97"/>
  <c r="B13" i="97" s="1"/>
  <c r="B14" i="97" s="1"/>
  <c r="B15" i="97" s="1"/>
  <c r="B16" i="97" s="1"/>
  <c r="B17" i="97" s="1"/>
  <c r="B18" i="97" s="1"/>
  <c r="B19" i="97" s="1"/>
  <c r="B20" i="97" s="1"/>
  <c r="B21" i="97" s="1"/>
  <c r="B22" i="97" s="1"/>
  <c r="B23" i="97" s="1"/>
  <c r="B24" i="97" s="1"/>
  <c r="B25" i="97" s="1"/>
  <c r="B26" i="97" s="1"/>
  <c r="B27" i="97" s="1"/>
  <c r="B28" i="97" s="1"/>
  <c r="B29" i="97" s="1"/>
  <c r="B30" i="97" s="1"/>
  <c r="B31" i="97" s="1"/>
  <c r="B32" i="97" s="1"/>
  <c r="B33" i="97" s="1"/>
  <c r="B34" i="97" s="1"/>
  <c r="B35" i="97" s="1"/>
  <c r="B36" i="97" s="1"/>
  <c r="B37" i="97" s="1"/>
  <c r="B38" i="97" s="1"/>
  <c r="A12" i="97"/>
  <c r="A13" i="97" s="1"/>
  <c r="A14" i="97" s="1"/>
  <c r="A15" i="97" s="1"/>
  <c r="N11" i="97"/>
  <c r="C11" i="97"/>
  <c r="B11" i="97"/>
  <c r="N9" i="97"/>
  <c r="N6" i="97"/>
  <c r="M6" i="97"/>
  <c r="N5" i="97"/>
  <c r="M5" i="97"/>
  <c r="N2" i="97"/>
  <c r="E2" i="97" a="1"/>
  <c r="E2" i="97" s="1"/>
  <c r="N38" i="95"/>
  <c r="N37" i="95"/>
  <c r="N36" i="95"/>
  <c r="N35" i="95"/>
  <c r="N34" i="95"/>
  <c r="N33" i="95"/>
  <c r="N32" i="95"/>
  <c r="N31" i="95"/>
  <c r="N30" i="95"/>
  <c r="N29" i="95"/>
  <c r="N28" i="95"/>
  <c r="N27" i="95"/>
  <c r="N26" i="95"/>
  <c r="N25" i="95"/>
  <c r="C25" i="95"/>
  <c r="C26" i="95" s="1"/>
  <c r="C27" i="95" s="1"/>
  <c r="C28" i="95" s="1"/>
  <c r="C29" i="95" s="1"/>
  <c r="C30" i="95" s="1"/>
  <c r="C31" i="95" s="1"/>
  <c r="C32" i="95" s="1"/>
  <c r="C33" i="95" s="1"/>
  <c r="C34" i="95" s="1"/>
  <c r="C35" i="95" s="1"/>
  <c r="C36" i="95" s="1"/>
  <c r="C37" i="95" s="1"/>
  <c r="C38" i="95" s="1"/>
  <c r="N24" i="95"/>
  <c r="N23" i="95"/>
  <c r="N22" i="95"/>
  <c r="A22" i="95"/>
  <c r="A23" i="95" s="1"/>
  <c r="A24" i="95" s="1"/>
  <c r="A25" i="95" s="1"/>
  <c r="A26" i="95" s="1"/>
  <c r="A27" i="95" s="1"/>
  <c r="A28" i="95" s="1"/>
  <c r="A29" i="95" s="1"/>
  <c r="A30" i="95" s="1"/>
  <c r="A31" i="95" s="1"/>
  <c r="A32" i="95" s="1"/>
  <c r="A33" i="95" s="1"/>
  <c r="A34" i="95" s="1"/>
  <c r="A35" i="95" s="1"/>
  <c r="A36" i="95" s="1"/>
  <c r="A37" i="95" s="1"/>
  <c r="A38" i="95" s="1"/>
  <c r="N21" i="95"/>
  <c r="N20" i="95"/>
  <c r="N19" i="95"/>
  <c r="B19" i="95"/>
  <c r="B20" i="95" s="1"/>
  <c r="B21" i="95" s="1"/>
  <c r="B22" i="95" s="1"/>
  <c r="B23" i="95" s="1"/>
  <c r="B24" i="95" s="1"/>
  <c r="B25" i="95" s="1"/>
  <c r="B26" i="95" s="1"/>
  <c r="B27" i="95" s="1"/>
  <c r="B28" i="95" s="1"/>
  <c r="B29" i="95" s="1"/>
  <c r="B30" i="95" s="1"/>
  <c r="B31" i="95" s="1"/>
  <c r="B32" i="95" s="1"/>
  <c r="B33" i="95" s="1"/>
  <c r="B34" i="95" s="1"/>
  <c r="B35" i="95" s="1"/>
  <c r="B36" i="95" s="1"/>
  <c r="B37" i="95" s="1"/>
  <c r="B38" i="95" s="1"/>
  <c r="N18" i="95"/>
  <c r="N17" i="95"/>
  <c r="N16" i="95"/>
  <c r="N15" i="95"/>
  <c r="N14" i="95"/>
  <c r="A14" i="95"/>
  <c r="A15" i="95" s="1"/>
  <c r="A16" i="95" s="1"/>
  <c r="A17" i="95" s="1"/>
  <c r="A18" i="95" s="1"/>
  <c r="A19" i="95" s="1"/>
  <c r="A20" i="95" s="1"/>
  <c r="A21" i="95" s="1"/>
  <c r="N13" i="95"/>
  <c r="C13" i="95"/>
  <c r="C14" i="95" s="1"/>
  <c r="C15" i="95" s="1"/>
  <c r="C16" i="95" s="1"/>
  <c r="C17" i="95" s="1"/>
  <c r="C18" i="95" s="1"/>
  <c r="C19" i="95" s="1"/>
  <c r="C20" i="95" s="1"/>
  <c r="C21" i="95" s="1"/>
  <c r="C22" i="95" s="1"/>
  <c r="C23" i="95" s="1"/>
  <c r="C24" i="95" s="1"/>
  <c r="N12" i="95"/>
  <c r="A12" i="95"/>
  <c r="A13" i="95" s="1"/>
  <c r="N11" i="95"/>
  <c r="C11" i="95"/>
  <c r="C12" i="95" s="1"/>
  <c r="B11" i="95"/>
  <c r="B12" i="95" s="1"/>
  <c r="B13" i="95" s="1"/>
  <c r="B14" i="95" s="1"/>
  <c r="B15" i="95" s="1"/>
  <c r="B16" i="95" s="1"/>
  <c r="B17" i="95" s="1"/>
  <c r="B18" i="95" s="1"/>
  <c r="N9" i="95"/>
  <c r="N6" i="95"/>
  <c r="M6" i="95"/>
  <c r="N5" i="95"/>
  <c r="M5" i="95"/>
  <c r="N2" i="95"/>
  <c r="E2" i="95" a="1"/>
  <c r="E2" i="95"/>
  <c r="N38" i="94"/>
  <c r="N37" i="94"/>
  <c r="N36" i="94"/>
  <c r="N35" i="94"/>
  <c r="N34" i="94"/>
  <c r="N33" i="94"/>
  <c r="N32" i="94"/>
  <c r="N31" i="94"/>
  <c r="N30" i="94"/>
  <c r="N29" i="94"/>
  <c r="N28" i="94"/>
  <c r="N27" i="94"/>
  <c r="N26" i="94"/>
  <c r="N25" i="94"/>
  <c r="N24" i="94"/>
  <c r="N23" i="94"/>
  <c r="N22" i="94"/>
  <c r="N21" i="94"/>
  <c r="N20" i="94"/>
  <c r="N19" i="94"/>
  <c r="N18" i="94"/>
  <c r="N17" i="94"/>
  <c r="N16" i="94"/>
  <c r="N15" i="94"/>
  <c r="N14" i="94"/>
  <c r="N13" i="94"/>
  <c r="C13" i="94"/>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A13" i="94"/>
  <c r="A14" i="94" s="1"/>
  <c r="A15" i="94" s="1"/>
  <c r="A16" i="94" s="1"/>
  <c r="A17" i="94" s="1"/>
  <c r="A18" i="94" s="1"/>
  <c r="A19" i="94" s="1"/>
  <c r="A20" i="94" s="1"/>
  <c r="A21" i="94" s="1"/>
  <c r="A22" i="94" s="1"/>
  <c r="A23" i="94" s="1"/>
  <c r="A24" i="94" s="1"/>
  <c r="A25" i="94" s="1"/>
  <c r="A26" i="94" s="1"/>
  <c r="A27" i="94" s="1"/>
  <c r="A28" i="94" s="1"/>
  <c r="A29" i="94" s="1"/>
  <c r="A30" i="94" s="1"/>
  <c r="A31" i="94" s="1"/>
  <c r="A32" i="94" s="1"/>
  <c r="A33" i="94" s="1"/>
  <c r="A34" i="94" s="1"/>
  <c r="A35" i="94" s="1"/>
  <c r="A36" i="94" s="1"/>
  <c r="A37" i="94" s="1"/>
  <c r="A38" i="94" s="1"/>
  <c r="N12" i="94"/>
  <c r="C12" i="94"/>
  <c r="A12" i="94"/>
  <c r="N11" i="94"/>
  <c r="C11" i="94"/>
  <c r="B11" i="94"/>
  <c r="B12" i="94" s="1"/>
  <c r="B13" i="94" s="1"/>
  <c r="B14" i="94" s="1"/>
  <c r="B15" i="94" s="1"/>
  <c r="B16" i="94" s="1"/>
  <c r="B17" i="94" s="1"/>
  <c r="B18" i="94" s="1"/>
  <c r="B19" i="94" s="1"/>
  <c r="B20" i="94" s="1"/>
  <c r="B21" i="94" s="1"/>
  <c r="B22" i="94" s="1"/>
  <c r="B23" i="94" s="1"/>
  <c r="B24" i="94" s="1"/>
  <c r="B25" i="94" s="1"/>
  <c r="B26" i="94" s="1"/>
  <c r="B27" i="94" s="1"/>
  <c r="B28" i="94" s="1"/>
  <c r="B29" i="94" s="1"/>
  <c r="B30" i="94" s="1"/>
  <c r="B31" i="94" s="1"/>
  <c r="B32" i="94" s="1"/>
  <c r="B33" i="94" s="1"/>
  <c r="B34" i="94" s="1"/>
  <c r="B35" i="94" s="1"/>
  <c r="B36" i="94" s="1"/>
  <c r="B37" i="94" s="1"/>
  <c r="B38" i="94" s="1"/>
  <c r="N9" i="94"/>
  <c r="N6" i="94"/>
  <c r="M6" i="94"/>
  <c r="N5" i="94"/>
  <c r="M5" i="94"/>
  <c r="N2" i="94"/>
  <c r="E2" i="94" a="1"/>
  <c r="E2" i="94"/>
  <c r="L10" i="93"/>
  <c r="K10" i="93"/>
  <c r="L9" i="93"/>
  <c r="L11" i="93" s="1"/>
  <c r="K9" i="93"/>
  <c r="K11" i="93" s="1"/>
  <c r="J9" i="93"/>
  <c r="J3" i="93"/>
  <c r="N38" i="92"/>
  <c r="N37" i="92"/>
  <c r="N36" i="92"/>
  <c r="N35" i="92"/>
  <c r="N34" i="92"/>
  <c r="N33" i="92"/>
  <c r="N32" i="92"/>
  <c r="N31" i="92"/>
  <c r="N30" i="92"/>
  <c r="N29" i="92"/>
  <c r="A29" i="92"/>
  <c r="A30" i="92" s="1"/>
  <c r="A31" i="92" s="1"/>
  <c r="A32" i="92" s="1"/>
  <c r="A33" i="92" s="1"/>
  <c r="A34" i="92" s="1"/>
  <c r="A35" i="92" s="1"/>
  <c r="A36" i="92" s="1"/>
  <c r="A37" i="92" s="1"/>
  <c r="A38" i="92" s="1"/>
  <c r="N28" i="92"/>
  <c r="N27" i="92"/>
  <c r="N26" i="92"/>
  <c r="N25" i="92"/>
  <c r="N24" i="92"/>
  <c r="B24" i="92"/>
  <c r="B25" i="92" s="1"/>
  <c r="B26" i="92" s="1"/>
  <c r="B27" i="92" s="1"/>
  <c r="B28" i="92" s="1"/>
  <c r="B29" i="92" s="1"/>
  <c r="B30" i="92" s="1"/>
  <c r="B31" i="92" s="1"/>
  <c r="B32" i="92" s="1"/>
  <c r="B33" i="92" s="1"/>
  <c r="B34" i="92" s="1"/>
  <c r="B35" i="92" s="1"/>
  <c r="B36" i="92" s="1"/>
  <c r="B37" i="92" s="1"/>
  <c r="B38" i="92" s="1"/>
  <c r="N23" i="92"/>
  <c r="N22" i="92"/>
  <c r="N21" i="92"/>
  <c r="N20" i="92"/>
  <c r="N19" i="92"/>
  <c r="N18" i="92"/>
  <c r="N17" i="92"/>
  <c r="N16" i="92"/>
  <c r="N15" i="92"/>
  <c r="N14" i="92"/>
  <c r="N13" i="92"/>
  <c r="C13" i="92"/>
  <c r="C14" i="92" s="1"/>
  <c r="C15" i="92" s="1"/>
  <c r="C16" i="92" s="1"/>
  <c r="C17" i="92" s="1"/>
  <c r="C18" i="92" s="1"/>
  <c r="C19" i="92" s="1"/>
  <c r="C20" i="92" s="1"/>
  <c r="C21" i="92" s="1"/>
  <c r="C22" i="92" s="1"/>
  <c r="C23" i="92" s="1"/>
  <c r="C24" i="92" s="1"/>
  <c r="C25" i="92" s="1"/>
  <c r="C26" i="92" s="1"/>
  <c r="C27" i="92" s="1"/>
  <c r="C28" i="92" s="1"/>
  <c r="C29" i="92" s="1"/>
  <c r="C30" i="92" s="1"/>
  <c r="C31" i="92" s="1"/>
  <c r="C32" i="92" s="1"/>
  <c r="C33" i="92" s="1"/>
  <c r="C34" i="92" s="1"/>
  <c r="C35" i="92" s="1"/>
  <c r="C36" i="92" s="1"/>
  <c r="C37" i="92" s="1"/>
  <c r="C38" i="92" s="1"/>
  <c r="N12" i="92"/>
  <c r="C12" i="92"/>
  <c r="B12" i="92"/>
  <c r="B13" i="92" s="1"/>
  <c r="B14" i="92" s="1"/>
  <c r="B15" i="92" s="1"/>
  <c r="B16" i="92" s="1"/>
  <c r="B17" i="92" s="1"/>
  <c r="B18" i="92" s="1"/>
  <c r="B19" i="92" s="1"/>
  <c r="B20" i="92" s="1"/>
  <c r="B21" i="92" s="1"/>
  <c r="B22" i="92" s="1"/>
  <c r="B23" i="92" s="1"/>
  <c r="A12" i="92"/>
  <c r="A13" i="92" s="1"/>
  <c r="A14" i="92" s="1"/>
  <c r="A15" i="92" s="1"/>
  <c r="A16" i="92" s="1"/>
  <c r="A17" i="92" s="1"/>
  <c r="A18" i="92" s="1"/>
  <c r="A19" i="92" s="1"/>
  <c r="A20" i="92" s="1"/>
  <c r="A21" i="92" s="1"/>
  <c r="A22" i="92" s="1"/>
  <c r="A23" i="92" s="1"/>
  <c r="A24" i="92" s="1"/>
  <c r="A25" i="92" s="1"/>
  <c r="A26" i="92" s="1"/>
  <c r="A27" i="92" s="1"/>
  <c r="A28" i="92" s="1"/>
  <c r="N11" i="92"/>
  <c r="C11" i="92"/>
  <c r="B11" i="92"/>
  <c r="N9" i="92"/>
  <c r="N6" i="92"/>
  <c r="M6" i="92"/>
  <c r="N5" i="92"/>
  <c r="M5" i="92"/>
  <c r="N2" i="92"/>
  <c r="E2" i="92" a="1"/>
  <c r="E2" i="92" s="1"/>
  <c r="O55" i="91"/>
  <c r="M52" i="91"/>
  <c r="M51" i="91"/>
  <c r="M50" i="91"/>
  <c r="O52" i="91" s="1"/>
  <c r="O43" i="91"/>
  <c r="M33" i="91"/>
  <c r="O34" i="91" s="1"/>
  <c r="M31" i="91"/>
  <c r="M17" i="91"/>
  <c r="O18" i="91" s="1"/>
  <c r="O36" i="91" s="1"/>
  <c r="O54" i="91" s="1"/>
  <c r="O56" i="91" s="1"/>
  <c r="B2" i="91"/>
  <c r="O55" i="89"/>
  <c r="O52" i="89"/>
  <c r="M52" i="89"/>
  <c r="M51" i="89"/>
  <c r="M50" i="89"/>
  <c r="O43" i="89"/>
  <c r="O34" i="89"/>
  <c r="M33" i="89"/>
  <c r="M31" i="89"/>
  <c r="M17" i="89"/>
  <c r="O18" i="89" s="1"/>
  <c r="B2" i="89"/>
  <c r="O55" i="88"/>
  <c r="M52" i="88"/>
  <c r="M51" i="88"/>
  <c r="M50" i="88"/>
  <c r="O52" i="88" s="1"/>
  <c r="O43" i="88"/>
  <c r="M33" i="88"/>
  <c r="O34" i="88" s="1"/>
  <c r="M31" i="88"/>
  <c r="O18" i="88"/>
  <c r="M17" i="88"/>
  <c r="B2" i="88"/>
  <c r="N38" i="87"/>
  <c r="N37" i="87"/>
  <c r="N36" i="87"/>
  <c r="N35" i="87"/>
  <c r="N34" i="87"/>
  <c r="N33" i="87"/>
  <c r="N32" i="87"/>
  <c r="N31" i="87"/>
  <c r="N30" i="87"/>
  <c r="N29" i="87"/>
  <c r="N28" i="87"/>
  <c r="N27" i="87"/>
  <c r="N26" i="87"/>
  <c r="N25" i="87"/>
  <c r="N24" i="87"/>
  <c r="N23" i="87"/>
  <c r="N22" i="87"/>
  <c r="N21" i="87"/>
  <c r="N20" i="87"/>
  <c r="N19" i="87"/>
  <c r="C19" i="87"/>
  <c r="C20" i="87" s="1"/>
  <c r="C21" i="87" s="1"/>
  <c r="C22" i="87" s="1"/>
  <c r="C23" i="87" s="1"/>
  <c r="C24" i="87" s="1"/>
  <c r="C25" i="87" s="1"/>
  <c r="C26" i="87" s="1"/>
  <c r="C27" i="87" s="1"/>
  <c r="C28" i="87" s="1"/>
  <c r="C29" i="87" s="1"/>
  <c r="C30" i="87" s="1"/>
  <c r="C31" i="87" s="1"/>
  <c r="C32" i="87" s="1"/>
  <c r="C33" i="87" s="1"/>
  <c r="C34" i="87" s="1"/>
  <c r="C35" i="87" s="1"/>
  <c r="C36" i="87" s="1"/>
  <c r="C37" i="87" s="1"/>
  <c r="C38" i="87" s="1"/>
  <c r="N18" i="87"/>
  <c r="N17" i="87"/>
  <c r="N16" i="87"/>
  <c r="N15" i="87"/>
  <c r="C15" i="87"/>
  <c r="C16" i="87" s="1"/>
  <c r="C17" i="87" s="1"/>
  <c r="C18" i="87" s="1"/>
  <c r="N14" i="87"/>
  <c r="N13" i="87"/>
  <c r="N12" i="87"/>
  <c r="A12" i="87"/>
  <c r="A13" i="87" s="1"/>
  <c r="A14" i="87" s="1"/>
  <c r="A15" i="87" s="1"/>
  <c r="A16" i="87" s="1"/>
  <c r="A17" i="87" s="1"/>
  <c r="A18" i="87" s="1"/>
  <c r="A19" i="87" s="1"/>
  <c r="A20" i="87" s="1"/>
  <c r="A21" i="87" s="1"/>
  <c r="A22" i="87" s="1"/>
  <c r="A23" i="87" s="1"/>
  <c r="A24" i="87" s="1"/>
  <c r="A25" i="87" s="1"/>
  <c r="A26" i="87" s="1"/>
  <c r="A27" i="87" s="1"/>
  <c r="A28" i="87" s="1"/>
  <c r="A29" i="87" s="1"/>
  <c r="A30" i="87" s="1"/>
  <c r="A31" i="87" s="1"/>
  <c r="A32" i="87" s="1"/>
  <c r="A33" i="87" s="1"/>
  <c r="A34" i="87" s="1"/>
  <c r="A35" i="87" s="1"/>
  <c r="A36" i="87" s="1"/>
  <c r="A37" i="87" s="1"/>
  <c r="A38" i="87" s="1"/>
  <c r="N11" i="87"/>
  <c r="C11" i="87"/>
  <c r="C12" i="87" s="1"/>
  <c r="C13" i="87" s="1"/>
  <c r="C14" i="87" s="1"/>
  <c r="B11" i="87"/>
  <c r="B12" i="87" s="1"/>
  <c r="B13" i="87" s="1"/>
  <c r="B14" i="87" s="1"/>
  <c r="B15" i="87" s="1"/>
  <c r="B16" i="87" s="1"/>
  <c r="B17" i="87" s="1"/>
  <c r="B18" i="87" s="1"/>
  <c r="B19" i="87" s="1"/>
  <c r="B20" i="87" s="1"/>
  <c r="B21" i="87" s="1"/>
  <c r="B22" i="87" s="1"/>
  <c r="B23" i="87" s="1"/>
  <c r="B24" i="87" s="1"/>
  <c r="B25" i="87" s="1"/>
  <c r="B26" i="87" s="1"/>
  <c r="B27" i="87" s="1"/>
  <c r="B28" i="87" s="1"/>
  <c r="B29" i="87" s="1"/>
  <c r="B30" i="87" s="1"/>
  <c r="B31" i="87" s="1"/>
  <c r="B32" i="87" s="1"/>
  <c r="B33" i="87" s="1"/>
  <c r="B34" i="87" s="1"/>
  <c r="B35" i="87" s="1"/>
  <c r="B36" i="87" s="1"/>
  <c r="B37" i="87" s="1"/>
  <c r="B38" i="87" s="1"/>
  <c r="N9" i="87"/>
  <c r="N6" i="87"/>
  <c r="M6" i="87"/>
  <c r="N5" i="87"/>
  <c r="M5" i="87"/>
  <c r="N2" i="87"/>
  <c r="E2" i="87" a="1"/>
  <c r="E2" i="87" s="1"/>
  <c r="N38" i="86"/>
  <c r="N37" i="86"/>
  <c r="N36" i="86"/>
  <c r="N35" i="86"/>
  <c r="N34" i="86"/>
  <c r="N33" i="86"/>
  <c r="N32" i="86"/>
  <c r="N31" i="86"/>
  <c r="N30" i="86"/>
  <c r="N29" i="86"/>
  <c r="N28" i="86"/>
  <c r="N27" i="86"/>
  <c r="N26" i="86"/>
  <c r="N25" i="86"/>
  <c r="N24" i="86"/>
  <c r="N23" i="86"/>
  <c r="N22" i="86"/>
  <c r="N21" i="86"/>
  <c r="N20" i="86"/>
  <c r="N19" i="86"/>
  <c r="N18" i="86"/>
  <c r="N17" i="86"/>
  <c r="N16" i="86"/>
  <c r="N15" i="86"/>
  <c r="N14" i="86"/>
  <c r="N13" i="86"/>
  <c r="A13" i="86"/>
  <c r="A14" i="86" s="1"/>
  <c r="A15" i="86" s="1"/>
  <c r="A16" i="86" s="1"/>
  <c r="A17" i="86" s="1"/>
  <c r="A18" i="86" s="1"/>
  <c r="A19" i="86" s="1"/>
  <c r="A20" i="86" s="1"/>
  <c r="A21" i="86" s="1"/>
  <c r="A22" i="86" s="1"/>
  <c r="A23" i="86" s="1"/>
  <c r="A24" i="86" s="1"/>
  <c r="A25" i="86" s="1"/>
  <c r="A26" i="86" s="1"/>
  <c r="A27" i="86" s="1"/>
  <c r="A28" i="86" s="1"/>
  <c r="A29" i="86" s="1"/>
  <c r="A30" i="86" s="1"/>
  <c r="A31" i="86" s="1"/>
  <c r="A32" i="86" s="1"/>
  <c r="A33" i="86" s="1"/>
  <c r="A34" i="86" s="1"/>
  <c r="A35" i="86" s="1"/>
  <c r="A36" i="86" s="1"/>
  <c r="A37" i="86" s="1"/>
  <c r="A38" i="86" s="1"/>
  <c r="N12" i="86"/>
  <c r="A12" i="86"/>
  <c r="N11" i="86"/>
  <c r="C11" i="86"/>
  <c r="C12" i="86" s="1"/>
  <c r="C13" i="86" s="1"/>
  <c r="C14" i="86" s="1"/>
  <c r="C15" i="86" s="1"/>
  <c r="C16" i="86" s="1"/>
  <c r="C17" i="86" s="1"/>
  <c r="C18" i="86" s="1"/>
  <c r="C19" i="86" s="1"/>
  <c r="C20" i="86" s="1"/>
  <c r="C21" i="86" s="1"/>
  <c r="C22" i="86" s="1"/>
  <c r="C23" i="86" s="1"/>
  <c r="C24" i="86" s="1"/>
  <c r="C25" i="86" s="1"/>
  <c r="C26" i="86" s="1"/>
  <c r="C27" i="86" s="1"/>
  <c r="C28" i="86" s="1"/>
  <c r="C29" i="86" s="1"/>
  <c r="C30" i="86" s="1"/>
  <c r="C31" i="86" s="1"/>
  <c r="C32" i="86" s="1"/>
  <c r="C33" i="86" s="1"/>
  <c r="C34" i="86" s="1"/>
  <c r="C35" i="86" s="1"/>
  <c r="C36" i="86" s="1"/>
  <c r="C37" i="86" s="1"/>
  <c r="C38" i="86" s="1"/>
  <c r="B11" i="86"/>
  <c r="B12" i="86" s="1"/>
  <c r="B13" i="86" s="1"/>
  <c r="B14" i="86" s="1"/>
  <c r="B15" i="86" s="1"/>
  <c r="B16" i="86" s="1"/>
  <c r="B17" i="86" s="1"/>
  <c r="B18" i="86" s="1"/>
  <c r="B19" i="86" s="1"/>
  <c r="B20" i="86" s="1"/>
  <c r="B21" i="86" s="1"/>
  <c r="B22" i="86" s="1"/>
  <c r="B23" i="86" s="1"/>
  <c r="B24" i="86" s="1"/>
  <c r="B25" i="86" s="1"/>
  <c r="B26" i="86" s="1"/>
  <c r="B27" i="86" s="1"/>
  <c r="B28" i="86" s="1"/>
  <c r="B29" i="86" s="1"/>
  <c r="B30" i="86" s="1"/>
  <c r="B31" i="86" s="1"/>
  <c r="B32" i="86" s="1"/>
  <c r="B33" i="86" s="1"/>
  <c r="B34" i="86" s="1"/>
  <c r="B35" i="86" s="1"/>
  <c r="B36" i="86" s="1"/>
  <c r="B37" i="86" s="1"/>
  <c r="B38" i="86" s="1"/>
  <c r="N9" i="86"/>
  <c r="N6" i="86"/>
  <c r="M6" i="86"/>
  <c r="N5" i="86"/>
  <c r="M5" i="86"/>
  <c r="N2" i="86"/>
  <c r="E2" i="86" a="1"/>
  <c r="E2" i="86"/>
  <c r="N38" i="85"/>
  <c r="N37" i="85"/>
  <c r="N36" i="85"/>
  <c r="N35" i="85"/>
  <c r="N34" i="85"/>
  <c r="N33" i="85"/>
  <c r="N32" i="85"/>
  <c r="N31" i="85"/>
  <c r="A31" i="85"/>
  <c r="A32" i="85" s="1"/>
  <c r="A33" i="85" s="1"/>
  <c r="A34" i="85" s="1"/>
  <c r="A35" i="85" s="1"/>
  <c r="A36" i="85" s="1"/>
  <c r="A37" i="85" s="1"/>
  <c r="A38" i="85" s="1"/>
  <c r="N30" i="85"/>
  <c r="N29" i="85"/>
  <c r="N28" i="85"/>
  <c r="N27" i="85"/>
  <c r="N26" i="85"/>
  <c r="N25" i="85"/>
  <c r="A25" i="85"/>
  <c r="A26" i="85" s="1"/>
  <c r="A27" i="85" s="1"/>
  <c r="A28" i="85" s="1"/>
  <c r="A29" i="85" s="1"/>
  <c r="A30" i="85" s="1"/>
  <c r="N24" i="85"/>
  <c r="N23" i="85"/>
  <c r="N22" i="85"/>
  <c r="N21" i="85"/>
  <c r="N20" i="85"/>
  <c r="N19" i="85"/>
  <c r="N18" i="85"/>
  <c r="N17" i="85"/>
  <c r="N16" i="85"/>
  <c r="N15" i="85"/>
  <c r="A15" i="85"/>
  <c r="A16" i="85" s="1"/>
  <c r="A17" i="85" s="1"/>
  <c r="A18" i="85" s="1"/>
  <c r="A19" i="85" s="1"/>
  <c r="A20" i="85" s="1"/>
  <c r="A21" i="85" s="1"/>
  <c r="A22" i="85" s="1"/>
  <c r="A23" i="85" s="1"/>
  <c r="A24" i="85" s="1"/>
  <c r="N14" i="85"/>
  <c r="N13" i="85"/>
  <c r="A13" i="85"/>
  <c r="A14" i="85" s="1"/>
  <c r="N12" i="85"/>
  <c r="C12" i="85"/>
  <c r="C13" i="85" s="1"/>
  <c r="C14" i="85" s="1"/>
  <c r="C15" i="85" s="1"/>
  <c r="C16" i="85" s="1"/>
  <c r="C17" i="85" s="1"/>
  <c r="C18" i="85" s="1"/>
  <c r="C19" i="85" s="1"/>
  <c r="C20" i="85" s="1"/>
  <c r="C21" i="85" s="1"/>
  <c r="C22" i="85" s="1"/>
  <c r="C23" i="85" s="1"/>
  <c r="C24" i="85" s="1"/>
  <c r="C25" i="85" s="1"/>
  <c r="C26" i="85" s="1"/>
  <c r="C27" i="85" s="1"/>
  <c r="C28" i="85" s="1"/>
  <c r="C29" i="85" s="1"/>
  <c r="C30" i="85" s="1"/>
  <c r="C31" i="85" s="1"/>
  <c r="C32" i="85" s="1"/>
  <c r="C33" i="85" s="1"/>
  <c r="C34" i="85" s="1"/>
  <c r="C35" i="85" s="1"/>
  <c r="C36" i="85" s="1"/>
  <c r="C37" i="85" s="1"/>
  <c r="C38" i="85" s="1"/>
  <c r="B12" i="85"/>
  <c r="B13" i="85" s="1"/>
  <c r="B14" i="85" s="1"/>
  <c r="B15" i="85" s="1"/>
  <c r="B16" i="85" s="1"/>
  <c r="B17" i="85" s="1"/>
  <c r="B18" i="85" s="1"/>
  <c r="B19" i="85" s="1"/>
  <c r="B20" i="85" s="1"/>
  <c r="B21" i="85" s="1"/>
  <c r="B22" i="85" s="1"/>
  <c r="B23" i="85" s="1"/>
  <c r="B24" i="85" s="1"/>
  <c r="B25" i="85" s="1"/>
  <c r="B26" i="85" s="1"/>
  <c r="B27" i="85" s="1"/>
  <c r="B28" i="85" s="1"/>
  <c r="B29" i="85" s="1"/>
  <c r="B30" i="85" s="1"/>
  <c r="B31" i="85" s="1"/>
  <c r="B32" i="85" s="1"/>
  <c r="B33" i="85" s="1"/>
  <c r="B34" i="85" s="1"/>
  <c r="B35" i="85" s="1"/>
  <c r="B36" i="85" s="1"/>
  <c r="B37" i="85" s="1"/>
  <c r="B38" i="85" s="1"/>
  <c r="A12" i="85"/>
  <c r="N11" i="85"/>
  <c r="C11" i="85"/>
  <c r="B11" i="85"/>
  <c r="N9" i="85"/>
  <c r="N6" i="85"/>
  <c r="M6" i="85"/>
  <c r="N5" i="85"/>
  <c r="M5" i="85"/>
  <c r="N2" i="85"/>
  <c r="E2" i="85" a="1"/>
  <c r="E2" i="85" s="1"/>
  <c r="L22" i="84"/>
  <c r="K22" i="84"/>
  <c r="I22" i="84"/>
  <c r="L21" i="84"/>
  <c r="K21" i="84"/>
  <c r="I21" i="84"/>
  <c r="L20" i="84"/>
  <c r="K20" i="84"/>
  <c r="I20" i="84"/>
  <c r="L19" i="84"/>
  <c r="K19" i="84"/>
  <c r="I19" i="84"/>
  <c r="L18" i="84"/>
  <c r="K18" i="84"/>
  <c r="I18" i="84"/>
  <c r="L17" i="84"/>
  <c r="K17" i="84"/>
  <c r="I17" i="84"/>
  <c r="L15" i="84"/>
  <c r="K15" i="84"/>
  <c r="I15" i="84"/>
  <c r="L14" i="84"/>
  <c r="K14" i="84"/>
  <c r="I14" i="84"/>
  <c r="L13" i="84"/>
  <c r="K13" i="84"/>
  <c r="I13" i="84"/>
  <c r="L12" i="84"/>
  <c r="K12" i="84"/>
  <c r="I12" i="84"/>
  <c r="L11" i="84"/>
  <c r="K11" i="84"/>
  <c r="I11" i="84"/>
  <c r="L10" i="84"/>
  <c r="K10" i="84"/>
  <c r="I10" i="84"/>
  <c r="L8" i="84"/>
  <c r="K8" i="84"/>
  <c r="I8" i="84"/>
  <c r="I27" i="84" s="1"/>
  <c r="L7" i="84"/>
  <c r="K7" i="84"/>
  <c r="I7" i="84"/>
  <c r="I24" i="84" s="1"/>
  <c r="L5" i="84"/>
  <c r="K5" i="84"/>
  <c r="I5" i="84"/>
  <c r="L2" i="84"/>
  <c r="K2" i="84"/>
  <c r="I2" i="84"/>
  <c r="N38" i="82"/>
  <c r="N37" i="82"/>
  <c r="N36" i="82"/>
  <c r="N35" i="82"/>
  <c r="N34" i="82"/>
  <c r="B34" i="82"/>
  <c r="B35" i="82" s="1"/>
  <c r="B36" i="82" s="1"/>
  <c r="B37" i="82" s="1"/>
  <c r="B38" i="82" s="1"/>
  <c r="N33" i="82"/>
  <c r="N32" i="82"/>
  <c r="N31" i="82"/>
  <c r="N30" i="82"/>
  <c r="N29" i="82"/>
  <c r="N28" i="82"/>
  <c r="N27" i="82"/>
  <c r="N26" i="82"/>
  <c r="N25" i="82"/>
  <c r="N24" i="82"/>
  <c r="N23" i="82"/>
  <c r="N22" i="82"/>
  <c r="N21" i="82"/>
  <c r="N20" i="82"/>
  <c r="N19" i="82"/>
  <c r="N18" i="82"/>
  <c r="N17" i="82"/>
  <c r="N16" i="82"/>
  <c r="N15" i="82"/>
  <c r="N14" i="82"/>
  <c r="B14" i="82"/>
  <c r="B15" i="82" s="1"/>
  <c r="B16" i="82" s="1"/>
  <c r="B17" i="82" s="1"/>
  <c r="B18" i="82" s="1"/>
  <c r="B19" i="82" s="1"/>
  <c r="B20" i="82" s="1"/>
  <c r="B21" i="82" s="1"/>
  <c r="B22" i="82" s="1"/>
  <c r="B23" i="82" s="1"/>
  <c r="B24" i="82" s="1"/>
  <c r="B25" i="82" s="1"/>
  <c r="B26" i="82" s="1"/>
  <c r="B27" i="82" s="1"/>
  <c r="B28" i="82" s="1"/>
  <c r="B29" i="82" s="1"/>
  <c r="B30" i="82" s="1"/>
  <c r="B31" i="82" s="1"/>
  <c r="B32" i="82" s="1"/>
  <c r="B33" i="82" s="1"/>
  <c r="N13" i="82"/>
  <c r="B13" i="82"/>
  <c r="N12" i="82"/>
  <c r="B12" i="82"/>
  <c r="A12" i="82"/>
  <c r="A13" i="82" s="1"/>
  <c r="A14" i="82" s="1"/>
  <c r="A15" i="82" s="1"/>
  <c r="A16" i="82" s="1"/>
  <c r="A17" i="82" s="1"/>
  <c r="A18" i="82" s="1"/>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N11" i="82"/>
  <c r="C11" i="82"/>
  <c r="C12" i="82" s="1"/>
  <c r="C13" i="82" s="1"/>
  <c r="C14" i="82" s="1"/>
  <c r="C15" i="82" s="1"/>
  <c r="C16" i="82" s="1"/>
  <c r="C17" i="82" s="1"/>
  <c r="C18" i="82" s="1"/>
  <c r="C19" i="82" s="1"/>
  <c r="C20" i="82" s="1"/>
  <c r="C21" i="82" s="1"/>
  <c r="C22" i="82" s="1"/>
  <c r="C23" i="82" s="1"/>
  <c r="C24" i="82" s="1"/>
  <c r="C25" i="82" s="1"/>
  <c r="C26" i="82" s="1"/>
  <c r="C27" i="82" s="1"/>
  <c r="C28" i="82" s="1"/>
  <c r="C29" i="82" s="1"/>
  <c r="C30" i="82" s="1"/>
  <c r="C31" i="82" s="1"/>
  <c r="C32" i="82" s="1"/>
  <c r="C33" i="82" s="1"/>
  <c r="C34" i="82" s="1"/>
  <c r="C35" i="82" s="1"/>
  <c r="C36" i="82" s="1"/>
  <c r="C37" i="82" s="1"/>
  <c r="C38" i="82" s="1"/>
  <c r="B11" i="82"/>
  <c r="N9" i="82"/>
  <c r="N6" i="82"/>
  <c r="M6" i="82"/>
  <c r="N5" i="82"/>
  <c r="M5" i="82"/>
  <c r="N2" i="82"/>
  <c r="E2" i="82" a="1"/>
  <c r="E2" i="82" s="1"/>
  <c r="L16" i="79"/>
  <c r="K16" i="79"/>
  <c r="J16" i="79"/>
  <c r="L15" i="79"/>
  <c r="K15" i="79"/>
  <c r="K17" i="79" s="1"/>
  <c r="L9" i="79"/>
  <c r="J9" i="79"/>
  <c r="J11" i="79" s="1"/>
  <c r="J3" i="79"/>
  <c r="J15" i="79" s="1"/>
  <c r="M22" i="77"/>
  <c r="M16" i="77"/>
  <c r="J16" i="77"/>
  <c r="M10" i="77"/>
  <c r="L10" i="77"/>
  <c r="L16" i="77" s="1"/>
  <c r="L22" i="77" s="1"/>
  <c r="K10" i="77"/>
  <c r="K16" i="77" s="1"/>
  <c r="K22" i="77" s="1"/>
  <c r="J3" i="77"/>
  <c r="C2" i="77"/>
  <c r="M22" i="76"/>
  <c r="M16" i="76"/>
  <c r="J16" i="76"/>
  <c r="L15" i="76"/>
  <c r="M10" i="76"/>
  <c r="L9" i="76"/>
  <c r="L11" i="76" s="1"/>
  <c r="K9" i="76"/>
  <c r="J9" i="76"/>
  <c r="J3" i="76"/>
  <c r="C2" i="76"/>
  <c r="L16" i="75"/>
  <c r="L17" i="75" s="1"/>
  <c r="K16" i="75"/>
  <c r="L15" i="75"/>
  <c r="K15" i="75"/>
  <c r="J15" i="75"/>
  <c r="J3" i="75"/>
  <c r="M38" i="74"/>
  <c r="M37" i="74"/>
  <c r="M36" i="74"/>
  <c r="M35" i="74"/>
  <c r="M34" i="74"/>
  <c r="M33" i="74"/>
  <c r="M32" i="74"/>
  <c r="M31" i="74"/>
  <c r="M30" i="74"/>
  <c r="M29" i="74"/>
  <c r="M28" i="74"/>
  <c r="M27" i="74"/>
  <c r="M26" i="74"/>
  <c r="M25" i="74"/>
  <c r="M24" i="74"/>
  <c r="M23" i="74"/>
  <c r="A23" i="74"/>
  <c r="A24" i="74" s="1"/>
  <c r="A25" i="74" s="1"/>
  <c r="A26" i="74" s="1"/>
  <c r="A27" i="74" s="1"/>
  <c r="A28" i="74" s="1"/>
  <c r="A29" i="74" s="1"/>
  <c r="A30" i="74" s="1"/>
  <c r="A31" i="74" s="1"/>
  <c r="A32" i="74" s="1"/>
  <c r="A33" i="74" s="1"/>
  <c r="A34" i="74" s="1"/>
  <c r="A35" i="74" s="1"/>
  <c r="A36" i="74" s="1"/>
  <c r="A37" i="74" s="1"/>
  <c r="A38" i="74" s="1"/>
  <c r="M22" i="74"/>
  <c r="M21" i="74"/>
  <c r="M20" i="74"/>
  <c r="M19" i="74"/>
  <c r="M18" i="74"/>
  <c r="M17" i="74"/>
  <c r="A17" i="74"/>
  <c r="A18" i="74" s="1"/>
  <c r="A19" i="74" s="1"/>
  <c r="A20" i="74" s="1"/>
  <c r="A21" i="74" s="1"/>
  <c r="A22" i="74" s="1"/>
  <c r="M16" i="74"/>
  <c r="M15" i="74"/>
  <c r="A15" i="74"/>
  <c r="A16" i="74" s="1"/>
  <c r="M14" i="74"/>
  <c r="M13" i="74"/>
  <c r="A13" i="74"/>
  <c r="A14" i="74" s="1"/>
  <c r="M12" i="74"/>
  <c r="B12" i="74"/>
  <c r="B13" i="74" s="1"/>
  <c r="B14" i="74" s="1"/>
  <c r="B15" i="74" s="1"/>
  <c r="B16" i="74" s="1"/>
  <c r="B17" i="74" s="1"/>
  <c r="B18" i="74" s="1"/>
  <c r="B19" i="74" s="1"/>
  <c r="B20" i="74" s="1"/>
  <c r="B21" i="74" s="1"/>
  <c r="B22" i="74" s="1"/>
  <c r="B23" i="74" s="1"/>
  <c r="B24" i="74" s="1"/>
  <c r="B25" i="74" s="1"/>
  <c r="B26" i="74" s="1"/>
  <c r="B27" i="74" s="1"/>
  <c r="B28" i="74" s="1"/>
  <c r="B29" i="74" s="1"/>
  <c r="B30" i="74" s="1"/>
  <c r="B31" i="74" s="1"/>
  <c r="B32" i="74" s="1"/>
  <c r="B33" i="74" s="1"/>
  <c r="B34" i="74" s="1"/>
  <c r="B35" i="74" s="1"/>
  <c r="B36" i="74" s="1"/>
  <c r="B37" i="74" s="1"/>
  <c r="B38" i="74" s="1"/>
  <c r="A12" i="74"/>
  <c r="M11" i="74"/>
  <c r="C11" i="74"/>
  <c r="C12" i="74" s="1"/>
  <c r="C13" i="74" s="1"/>
  <c r="C14" i="74" s="1"/>
  <c r="C15" i="74" s="1"/>
  <c r="C16" i="74" s="1"/>
  <c r="C17" i="74" s="1"/>
  <c r="C18" i="74" s="1"/>
  <c r="C19" i="74" s="1"/>
  <c r="C20" i="74" s="1"/>
  <c r="C21" i="74" s="1"/>
  <c r="C22" i="74" s="1"/>
  <c r="C23" i="74" s="1"/>
  <c r="C24" i="74" s="1"/>
  <c r="C25" i="74" s="1"/>
  <c r="C26" i="74" s="1"/>
  <c r="C27" i="74" s="1"/>
  <c r="C28" i="74" s="1"/>
  <c r="C29" i="74" s="1"/>
  <c r="C30" i="74" s="1"/>
  <c r="C31" i="74" s="1"/>
  <c r="C32" i="74" s="1"/>
  <c r="C33" i="74" s="1"/>
  <c r="C34" i="74" s="1"/>
  <c r="C35" i="74" s="1"/>
  <c r="C36" i="74" s="1"/>
  <c r="C37" i="74" s="1"/>
  <c r="C38" i="74" s="1"/>
  <c r="B11" i="74"/>
  <c r="M9" i="74"/>
  <c r="M6" i="74"/>
  <c r="L6" i="74"/>
  <c r="M5" i="74"/>
  <c r="L5" i="74"/>
  <c r="M3" i="74"/>
  <c r="M1" i="74"/>
  <c r="M38" i="73"/>
  <c r="M37" i="73"/>
  <c r="M36" i="73"/>
  <c r="M35" i="73"/>
  <c r="M34" i="73"/>
  <c r="M33" i="73"/>
  <c r="M32" i="73"/>
  <c r="M31" i="73"/>
  <c r="M30" i="73"/>
  <c r="M29" i="73"/>
  <c r="M28" i="73"/>
  <c r="M27" i="73"/>
  <c r="M26" i="73"/>
  <c r="M25" i="73"/>
  <c r="M24" i="73"/>
  <c r="M23" i="73"/>
  <c r="M22" i="73"/>
  <c r="M21" i="73"/>
  <c r="M20" i="73"/>
  <c r="M19" i="73"/>
  <c r="M18" i="73"/>
  <c r="M17" i="73"/>
  <c r="M16" i="73"/>
  <c r="M15" i="73"/>
  <c r="M14" i="73"/>
  <c r="B14" i="73"/>
  <c r="B15" i="73" s="1"/>
  <c r="B16" i="73" s="1"/>
  <c r="B17" i="73" s="1"/>
  <c r="B18" i="73" s="1"/>
  <c r="B19" i="73" s="1"/>
  <c r="B20" i="73" s="1"/>
  <c r="B21" i="73" s="1"/>
  <c r="B22" i="73" s="1"/>
  <c r="B23" i="73" s="1"/>
  <c r="B24" i="73" s="1"/>
  <c r="B25" i="73" s="1"/>
  <c r="B26" i="73" s="1"/>
  <c r="B27" i="73" s="1"/>
  <c r="B28" i="73" s="1"/>
  <c r="B29" i="73" s="1"/>
  <c r="B30" i="73" s="1"/>
  <c r="B31" i="73" s="1"/>
  <c r="B32" i="73" s="1"/>
  <c r="B33" i="73" s="1"/>
  <c r="B34" i="73" s="1"/>
  <c r="B35" i="73" s="1"/>
  <c r="B36" i="73" s="1"/>
  <c r="B37" i="73" s="1"/>
  <c r="B38" i="73" s="1"/>
  <c r="M13" i="73"/>
  <c r="A13" i="73"/>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M12" i="73"/>
  <c r="C12" i="73"/>
  <c r="C13" i="73" s="1"/>
  <c r="C14" i="73" s="1"/>
  <c r="C15" i="73" s="1"/>
  <c r="C16" i="73" s="1"/>
  <c r="C17" i="73" s="1"/>
  <c r="C18" i="73" s="1"/>
  <c r="C19" i="73" s="1"/>
  <c r="C20" i="73" s="1"/>
  <c r="C21" i="73" s="1"/>
  <c r="C22" i="73" s="1"/>
  <c r="C23" i="73" s="1"/>
  <c r="C24" i="73" s="1"/>
  <c r="C25" i="73" s="1"/>
  <c r="C26" i="73" s="1"/>
  <c r="C27" i="73" s="1"/>
  <c r="C28" i="73" s="1"/>
  <c r="C29" i="73" s="1"/>
  <c r="C30" i="73" s="1"/>
  <c r="C31" i="73" s="1"/>
  <c r="C32" i="73" s="1"/>
  <c r="C33" i="73" s="1"/>
  <c r="C34" i="73" s="1"/>
  <c r="C35" i="73" s="1"/>
  <c r="C36" i="73" s="1"/>
  <c r="C37" i="73" s="1"/>
  <c r="C38" i="73" s="1"/>
  <c r="B12" i="73"/>
  <c r="B13" i="73" s="1"/>
  <c r="A12" i="73"/>
  <c r="M11" i="73"/>
  <c r="C11" i="73"/>
  <c r="B11" i="73"/>
  <c r="M9" i="73"/>
  <c r="M6" i="73"/>
  <c r="L6" i="73"/>
  <c r="M5" i="73"/>
  <c r="L5" i="73"/>
  <c r="M3" i="73"/>
  <c r="M1" i="73"/>
  <c r="E38" i="72"/>
  <c r="M38" i="72" s="1"/>
  <c r="M37" i="72"/>
  <c r="M36" i="72"/>
  <c r="M35" i="72"/>
  <c r="M34" i="72"/>
  <c r="M33" i="72"/>
  <c r="M32" i="72"/>
  <c r="M31" i="72"/>
  <c r="M30" i="72"/>
  <c r="M29" i="72"/>
  <c r="M28" i="72"/>
  <c r="M27" i="72"/>
  <c r="M26" i="72"/>
  <c r="M25" i="72"/>
  <c r="M24" i="72"/>
  <c r="M23" i="72"/>
  <c r="M22" i="72"/>
  <c r="M21" i="72"/>
  <c r="M20" i="72"/>
  <c r="A20" i="72"/>
  <c r="A21" i="72" s="1"/>
  <c r="A22" i="72" s="1"/>
  <c r="A23" i="72" s="1"/>
  <c r="A24" i="72" s="1"/>
  <c r="A25" i="72" s="1"/>
  <c r="A26" i="72" s="1"/>
  <c r="A27" i="72" s="1"/>
  <c r="A28" i="72" s="1"/>
  <c r="A29" i="72" s="1"/>
  <c r="A30" i="72" s="1"/>
  <c r="A31" i="72" s="1"/>
  <c r="A32" i="72" s="1"/>
  <c r="A33" i="72" s="1"/>
  <c r="A34" i="72" s="1"/>
  <c r="A35" i="72" s="1"/>
  <c r="A36" i="72" s="1"/>
  <c r="A37" i="72" s="1"/>
  <c r="A38" i="72" s="1"/>
  <c r="M19" i="72"/>
  <c r="J22" i="77" s="1"/>
  <c r="M18" i="72"/>
  <c r="M17" i="72"/>
  <c r="M16" i="72"/>
  <c r="A16" i="72"/>
  <c r="A17" i="72" s="1"/>
  <c r="A18" i="72" s="1"/>
  <c r="A19" i="72" s="1"/>
  <c r="M15" i="72"/>
  <c r="M14" i="72"/>
  <c r="M13" i="72"/>
  <c r="J10" i="77" s="1"/>
  <c r="M12" i="72"/>
  <c r="C12" i="72"/>
  <c r="C13" i="72" s="1"/>
  <c r="C14" i="72" s="1"/>
  <c r="C15" i="72" s="1"/>
  <c r="C16" i="72" s="1"/>
  <c r="C17" i="72" s="1"/>
  <c r="C18" i="72" s="1"/>
  <c r="C19" i="72" s="1"/>
  <c r="C20" i="72" s="1"/>
  <c r="C21" i="72" s="1"/>
  <c r="C22" i="72" s="1"/>
  <c r="C23" i="72" s="1"/>
  <c r="C24" i="72" s="1"/>
  <c r="C25" i="72" s="1"/>
  <c r="C26" i="72" s="1"/>
  <c r="C27" i="72" s="1"/>
  <c r="C28" i="72" s="1"/>
  <c r="C29" i="72" s="1"/>
  <c r="C30" i="72" s="1"/>
  <c r="C31" i="72" s="1"/>
  <c r="C32" i="72" s="1"/>
  <c r="C33" i="72" s="1"/>
  <c r="C34" i="72" s="1"/>
  <c r="C35" i="72" s="1"/>
  <c r="C36" i="72" s="1"/>
  <c r="C37" i="72" s="1"/>
  <c r="C38" i="72" s="1"/>
  <c r="B12" i="72"/>
  <c r="B13" i="72" s="1"/>
  <c r="B14" i="72" s="1"/>
  <c r="B15" i="72" s="1"/>
  <c r="B16" i="72" s="1"/>
  <c r="B17" i="72" s="1"/>
  <c r="B18" i="72" s="1"/>
  <c r="B19" i="72" s="1"/>
  <c r="B20" i="72" s="1"/>
  <c r="B21" i="72" s="1"/>
  <c r="B22" i="72" s="1"/>
  <c r="B23" i="72" s="1"/>
  <c r="B24" i="72" s="1"/>
  <c r="B25" i="72" s="1"/>
  <c r="B26" i="72" s="1"/>
  <c r="B27" i="72" s="1"/>
  <c r="B28" i="72" s="1"/>
  <c r="B29" i="72" s="1"/>
  <c r="B30" i="72" s="1"/>
  <c r="B31" i="72" s="1"/>
  <c r="B32" i="72" s="1"/>
  <c r="B33" i="72" s="1"/>
  <c r="B34" i="72" s="1"/>
  <c r="B35" i="72" s="1"/>
  <c r="B36" i="72" s="1"/>
  <c r="B37" i="72" s="1"/>
  <c r="B38" i="72" s="1"/>
  <c r="A12" i="72"/>
  <c r="A13" i="72" s="1"/>
  <c r="A14" i="72" s="1"/>
  <c r="A15" i="72" s="1"/>
  <c r="M11" i="72"/>
  <c r="C11" i="72"/>
  <c r="B11" i="72"/>
  <c r="M9" i="72"/>
  <c r="M6" i="72"/>
  <c r="L6" i="72"/>
  <c r="M5" i="72"/>
  <c r="L5" i="72"/>
  <c r="M3" i="72"/>
  <c r="M1" i="72"/>
  <c r="M38" i="71"/>
  <c r="M37" i="71"/>
  <c r="M36" i="71"/>
  <c r="M35" i="71"/>
  <c r="M34" i="71"/>
  <c r="M33" i="71"/>
  <c r="M32" i="71"/>
  <c r="L10" i="76" s="1"/>
  <c r="M31" i="71"/>
  <c r="M30" i="71"/>
  <c r="M29" i="71"/>
  <c r="M28" i="71"/>
  <c r="M27" i="71"/>
  <c r="M26" i="71"/>
  <c r="M25" i="71"/>
  <c r="M24" i="71"/>
  <c r="M23" i="71"/>
  <c r="M22" i="71"/>
  <c r="M21" i="71"/>
  <c r="M20" i="71"/>
  <c r="M19" i="71"/>
  <c r="M18" i="71"/>
  <c r="M17" i="71"/>
  <c r="M16" i="71"/>
  <c r="M15" i="71"/>
  <c r="A15" i="7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M14" i="71"/>
  <c r="A14" i="71"/>
  <c r="M13" i="71"/>
  <c r="A13" i="71"/>
  <c r="M12" i="71"/>
  <c r="C12" i="71"/>
  <c r="C13" i="71" s="1"/>
  <c r="C14" i="71" s="1"/>
  <c r="C15" i="71" s="1"/>
  <c r="C16" i="71" s="1"/>
  <c r="C17" i="71" s="1"/>
  <c r="C18" i="71" s="1"/>
  <c r="C19" i="71" s="1"/>
  <c r="C20" i="71" s="1"/>
  <c r="C21" i="71" s="1"/>
  <c r="C22" i="71" s="1"/>
  <c r="C23" i="71" s="1"/>
  <c r="C24" i="71" s="1"/>
  <c r="C25" i="71" s="1"/>
  <c r="C26" i="71" s="1"/>
  <c r="C27" i="71" s="1"/>
  <c r="C28" i="71" s="1"/>
  <c r="C29" i="71" s="1"/>
  <c r="C30" i="71" s="1"/>
  <c r="C31" i="71" s="1"/>
  <c r="C32" i="71" s="1"/>
  <c r="C33" i="71" s="1"/>
  <c r="C34" i="71" s="1"/>
  <c r="C35" i="71" s="1"/>
  <c r="C36" i="71" s="1"/>
  <c r="C37" i="71" s="1"/>
  <c r="C38" i="71" s="1"/>
  <c r="B12" i="71"/>
  <c r="B13" i="71" s="1"/>
  <c r="B14" i="71" s="1"/>
  <c r="B15" i="71" s="1"/>
  <c r="B16" i="71" s="1"/>
  <c r="B17" i="71" s="1"/>
  <c r="B18" i="71" s="1"/>
  <c r="B19" i="71" s="1"/>
  <c r="B20" i="71" s="1"/>
  <c r="B21" i="71" s="1"/>
  <c r="B22" i="71" s="1"/>
  <c r="B23" i="71" s="1"/>
  <c r="B24" i="71" s="1"/>
  <c r="B25" i="71" s="1"/>
  <c r="B26" i="71" s="1"/>
  <c r="B27" i="71" s="1"/>
  <c r="B28" i="71" s="1"/>
  <c r="B29" i="71" s="1"/>
  <c r="B30" i="71" s="1"/>
  <c r="B31" i="71" s="1"/>
  <c r="B32" i="71" s="1"/>
  <c r="B33" i="71" s="1"/>
  <c r="B34" i="71" s="1"/>
  <c r="B35" i="71" s="1"/>
  <c r="B36" i="71" s="1"/>
  <c r="B37" i="71" s="1"/>
  <c r="B38" i="71" s="1"/>
  <c r="A12" i="71"/>
  <c r="M11" i="71"/>
  <c r="C11" i="71"/>
  <c r="B11" i="71"/>
  <c r="M9" i="71"/>
  <c r="M6" i="71"/>
  <c r="L6" i="71"/>
  <c r="M5" i="71"/>
  <c r="L5" i="71"/>
  <c r="M3" i="71"/>
  <c r="M1" i="71"/>
  <c r="M38" i="70"/>
  <c r="M37" i="70"/>
  <c r="M36" i="70"/>
  <c r="M35" i="70"/>
  <c r="M34" i="70"/>
  <c r="C34" i="70"/>
  <c r="C35" i="70" s="1"/>
  <c r="C36" i="70" s="1"/>
  <c r="C37" i="70" s="1"/>
  <c r="C38" i="70" s="1"/>
  <c r="M33" i="70"/>
  <c r="M32" i="70"/>
  <c r="M31" i="70"/>
  <c r="M30" i="70"/>
  <c r="M29" i="70"/>
  <c r="K22" i="76" s="1"/>
  <c r="M28" i="70"/>
  <c r="M27" i="70"/>
  <c r="M26" i="70"/>
  <c r="M25" i="70"/>
  <c r="M24" i="70"/>
  <c r="M23" i="70"/>
  <c r="M22" i="70"/>
  <c r="M21" i="70"/>
  <c r="M20" i="70"/>
  <c r="C20" i="70"/>
  <c r="C21" i="70" s="1"/>
  <c r="C22" i="70" s="1"/>
  <c r="C23" i="70" s="1"/>
  <c r="C24" i="70" s="1"/>
  <c r="C25" i="70" s="1"/>
  <c r="C26" i="70" s="1"/>
  <c r="C27" i="70" s="1"/>
  <c r="C28" i="70" s="1"/>
  <c r="C29" i="70" s="1"/>
  <c r="C30" i="70" s="1"/>
  <c r="C31" i="70" s="1"/>
  <c r="C32" i="70" s="1"/>
  <c r="C33" i="70" s="1"/>
  <c r="M19" i="70"/>
  <c r="C19" i="70"/>
  <c r="M18" i="70"/>
  <c r="M17" i="70"/>
  <c r="M16" i="70"/>
  <c r="C16" i="70"/>
  <c r="C17" i="70" s="1"/>
  <c r="C18" i="70" s="1"/>
  <c r="M15" i="70"/>
  <c r="M14" i="70"/>
  <c r="M13" i="70"/>
  <c r="B13" i="70"/>
  <c r="B14" i="70" s="1"/>
  <c r="B15" i="70" s="1"/>
  <c r="B16" i="70" s="1"/>
  <c r="B17" i="70" s="1"/>
  <c r="B18" i="70" s="1"/>
  <c r="B19" i="70" s="1"/>
  <c r="B20" i="70" s="1"/>
  <c r="B21" i="70" s="1"/>
  <c r="B22" i="70" s="1"/>
  <c r="B23" i="70" s="1"/>
  <c r="B24" i="70" s="1"/>
  <c r="B25" i="70" s="1"/>
  <c r="B26" i="70" s="1"/>
  <c r="B27" i="70" s="1"/>
  <c r="B28" i="70" s="1"/>
  <c r="B29" i="70" s="1"/>
  <c r="B30" i="70" s="1"/>
  <c r="B31" i="70" s="1"/>
  <c r="B32" i="70" s="1"/>
  <c r="B33" i="70" s="1"/>
  <c r="B34" i="70" s="1"/>
  <c r="B35" i="70" s="1"/>
  <c r="B36" i="70" s="1"/>
  <c r="B37" i="70" s="1"/>
  <c r="B38" i="70" s="1"/>
  <c r="M12" i="70"/>
  <c r="C12" i="70"/>
  <c r="C13" i="70" s="1"/>
  <c r="C14" i="70" s="1"/>
  <c r="C15" i="70" s="1"/>
  <c r="B12" i="70"/>
  <c r="A12" i="70"/>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M11" i="70"/>
  <c r="C11" i="70"/>
  <c r="B11" i="70"/>
  <c r="M9" i="70"/>
  <c r="M6" i="70"/>
  <c r="L6" i="70"/>
  <c r="M5" i="70"/>
  <c r="L5" i="70"/>
  <c r="M3" i="70"/>
  <c r="M1" i="70"/>
  <c r="E38" i="69"/>
  <c r="M38" i="69" s="1"/>
  <c r="M37" i="69"/>
  <c r="M36" i="69"/>
  <c r="M35" i="69"/>
  <c r="M34" i="69"/>
  <c r="M33" i="69"/>
  <c r="M32" i="69"/>
  <c r="M31" i="69"/>
  <c r="M30" i="69"/>
  <c r="M29" i="69"/>
  <c r="M28" i="69"/>
  <c r="M27" i="69"/>
  <c r="M26" i="69"/>
  <c r="M25" i="69"/>
  <c r="M24" i="69"/>
  <c r="M23" i="69"/>
  <c r="M22" i="69"/>
  <c r="M21" i="69"/>
  <c r="M20" i="69"/>
  <c r="M19" i="69"/>
  <c r="J22" i="76" s="1"/>
  <c r="M18" i="69"/>
  <c r="B18" i="69"/>
  <c r="B19" i="69" s="1"/>
  <c r="B20" i="69" s="1"/>
  <c r="B21" i="69" s="1"/>
  <c r="B22" i="69" s="1"/>
  <c r="B23" i="69" s="1"/>
  <c r="B24" i="69" s="1"/>
  <c r="B25" i="69" s="1"/>
  <c r="B26" i="69" s="1"/>
  <c r="B27" i="69" s="1"/>
  <c r="B28" i="69" s="1"/>
  <c r="B29" i="69" s="1"/>
  <c r="B30" i="69" s="1"/>
  <c r="B31" i="69" s="1"/>
  <c r="B32" i="69" s="1"/>
  <c r="B33" i="69" s="1"/>
  <c r="B34" i="69" s="1"/>
  <c r="B35" i="69" s="1"/>
  <c r="B36" i="69" s="1"/>
  <c r="B37" i="69" s="1"/>
  <c r="B38" i="69" s="1"/>
  <c r="M17" i="69"/>
  <c r="M16" i="69"/>
  <c r="M15" i="69"/>
  <c r="M14" i="69"/>
  <c r="B14" i="69"/>
  <c r="B15" i="69" s="1"/>
  <c r="B16" i="69" s="1"/>
  <c r="B17" i="69" s="1"/>
  <c r="M13" i="69"/>
  <c r="J10" i="79" s="1"/>
  <c r="C13" i="69"/>
  <c r="C14" i="69" s="1"/>
  <c r="C15" i="69" s="1"/>
  <c r="C16" i="69" s="1"/>
  <c r="C17" i="69" s="1"/>
  <c r="C18" i="69" s="1"/>
  <c r="C19" i="69" s="1"/>
  <c r="C20" i="69" s="1"/>
  <c r="C21" i="69" s="1"/>
  <c r="C22" i="69" s="1"/>
  <c r="C23" i="69" s="1"/>
  <c r="C24" i="69" s="1"/>
  <c r="C25" i="69" s="1"/>
  <c r="C26" i="69" s="1"/>
  <c r="C27" i="69" s="1"/>
  <c r="C28" i="69" s="1"/>
  <c r="C29" i="69" s="1"/>
  <c r="C30" i="69" s="1"/>
  <c r="C31" i="69" s="1"/>
  <c r="C32" i="69" s="1"/>
  <c r="C33" i="69" s="1"/>
  <c r="C34" i="69" s="1"/>
  <c r="C35" i="69" s="1"/>
  <c r="C36" i="69" s="1"/>
  <c r="C37" i="69" s="1"/>
  <c r="C38" i="69" s="1"/>
  <c r="M12" i="69"/>
  <c r="B12" i="69"/>
  <c r="B13" i="69" s="1"/>
  <c r="A12" i="69"/>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M11" i="69"/>
  <c r="C11" i="69"/>
  <c r="C12" i="69" s="1"/>
  <c r="B11" i="69"/>
  <c r="M9" i="69"/>
  <c r="M6" i="69"/>
  <c r="L6" i="69"/>
  <c r="M5" i="69"/>
  <c r="L5" i="69"/>
  <c r="M3" i="69"/>
  <c r="M1" i="69"/>
  <c r="K28" i="68"/>
  <c r="J28" i="68"/>
  <c r="J22" i="68"/>
  <c r="J9" i="68"/>
  <c r="J3" i="68"/>
  <c r="C2" i="68"/>
  <c r="C2" i="79" s="1"/>
  <c r="B2" i="68"/>
  <c r="E34" i="67"/>
  <c r="E35" i="67" s="1"/>
  <c r="M33" i="67"/>
  <c r="E33" i="67"/>
  <c r="M32" i="67"/>
  <c r="M31" i="67"/>
  <c r="M30" i="67"/>
  <c r="M29" i="67"/>
  <c r="M28" i="67"/>
  <c r="M27" i="67"/>
  <c r="M26" i="67"/>
  <c r="M25" i="67"/>
  <c r="M24" i="67"/>
  <c r="B24" i="67"/>
  <c r="B25" i="67" s="1"/>
  <c r="B26" i="67" s="1"/>
  <c r="B27" i="67" s="1"/>
  <c r="B28" i="67" s="1"/>
  <c r="B29" i="67" s="1"/>
  <c r="B30" i="67" s="1"/>
  <c r="B31" i="67" s="1"/>
  <c r="B32" i="67" s="1"/>
  <c r="B33" i="67" s="1"/>
  <c r="B34" i="67" s="1"/>
  <c r="B35" i="67" s="1"/>
  <c r="B36" i="67" s="1"/>
  <c r="B37" i="67" s="1"/>
  <c r="B38" i="67" s="1"/>
  <c r="M23" i="67"/>
  <c r="M22" i="67"/>
  <c r="M21" i="67"/>
  <c r="M20" i="67"/>
  <c r="B20" i="67"/>
  <c r="B21" i="67" s="1"/>
  <c r="B22" i="67" s="1"/>
  <c r="B23" i="67" s="1"/>
  <c r="M19" i="67"/>
  <c r="M18" i="67"/>
  <c r="M17" i="67"/>
  <c r="M16" i="67"/>
  <c r="B16" i="67"/>
  <c r="B17" i="67" s="1"/>
  <c r="B18" i="67" s="1"/>
  <c r="B19" i="67" s="1"/>
  <c r="M15" i="67"/>
  <c r="M14" i="67"/>
  <c r="B14" i="67"/>
  <c r="B15" i="67" s="1"/>
  <c r="M13" i="67"/>
  <c r="A13" i="67"/>
  <c r="A14" i="67" s="1"/>
  <c r="A15" i="67" s="1"/>
  <c r="A16" i="67" s="1"/>
  <c r="A17" i="67" s="1"/>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M12" i="67"/>
  <c r="C12" i="67"/>
  <c r="C13" i="67" s="1"/>
  <c r="C14" i="67" s="1"/>
  <c r="C15" i="67" s="1"/>
  <c r="C16" i="67" s="1"/>
  <c r="C17" i="67" s="1"/>
  <c r="C18" i="67" s="1"/>
  <c r="C19" i="67" s="1"/>
  <c r="C20" i="67" s="1"/>
  <c r="C21" i="67" s="1"/>
  <c r="C22" i="67" s="1"/>
  <c r="C23" i="67" s="1"/>
  <c r="C24" i="67" s="1"/>
  <c r="C25" i="67" s="1"/>
  <c r="C26" i="67" s="1"/>
  <c r="C27" i="67" s="1"/>
  <c r="C28" i="67" s="1"/>
  <c r="C29" i="67" s="1"/>
  <c r="C30" i="67" s="1"/>
  <c r="C31" i="67" s="1"/>
  <c r="C32" i="67" s="1"/>
  <c r="C33" i="67" s="1"/>
  <c r="C34" i="67" s="1"/>
  <c r="C35" i="67" s="1"/>
  <c r="C36" i="67" s="1"/>
  <c r="C37" i="67" s="1"/>
  <c r="C38" i="67" s="1"/>
  <c r="B12" i="67"/>
  <c r="B13" i="67" s="1"/>
  <c r="A12" i="67"/>
  <c r="M11" i="67"/>
  <c r="C11" i="67"/>
  <c r="B11" i="67"/>
  <c r="M9" i="67"/>
  <c r="M6" i="67"/>
  <c r="L6" i="67"/>
  <c r="M5" i="67"/>
  <c r="L5" i="67"/>
  <c r="K5" i="67"/>
  <c r="M3" i="67"/>
  <c r="M1" i="67"/>
  <c r="E34" i="66"/>
  <c r="E30" i="66"/>
  <c r="E31" i="66" s="1"/>
  <c r="E32" i="66" s="1"/>
  <c r="E33" i="66" s="1"/>
  <c r="M33" i="66" s="1"/>
  <c r="M29" i="66"/>
  <c r="K10" i="68" s="1"/>
  <c r="M28" i="66"/>
  <c r="M27" i="66"/>
  <c r="M26" i="66"/>
  <c r="M25" i="66"/>
  <c r="M24" i="66"/>
  <c r="M23" i="66"/>
  <c r="M22" i="66"/>
  <c r="M21" i="66"/>
  <c r="M20" i="66"/>
  <c r="M19" i="66"/>
  <c r="M18" i="66"/>
  <c r="M17" i="66"/>
  <c r="M16" i="66"/>
  <c r="M15" i="66"/>
  <c r="M14" i="66"/>
  <c r="M13" i="66"/>
  <c r="C13" i="66"/>
  <c r="C14" i="66" s="1"/>
  <c r="C15" i="66" s="1"/>
  <c r="C16" i="66" s="1"/>
  <c r="C17" i="66" s="1"/>
  <c r="C18" i="66" s="1"/>
  <c r="C19" i="66" s="1"/>
  <c r="C20" i="66" s="1"/>
  <c r="C21" i="66" s="1"/>
  <c r="C22" i="66" s="1"/>
  <c r="C23" i="66" s="1"/>
  <c r="C24" i="66" s="1"/>
  <c r="C25" i="66" s="1"/>
  <c r="C26" i="66" s="1"/>
  <c r="C27" i="66" s="1"/>
  <c r="C28" i="66" s="1"/>
  <c r="C29" i="66" s="1"/>
  <c r="C30" i="66" s="1"/>
  <c r="C31" i="66" s="1"/>
  <c r="C32" i="66" s="1"/>
  <c r="C33" i="66" s="1"/>
  <c r="C34" i="66" s="1"/>
  <c r="C35" i="66" s="1"/>
  <c r="C36" i="66" s="1"/>
  <c r="C37" i="66" s="1"/>
  <c r="C38" i="66" s="1"/>
  <c r="A13" i="66"/>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M12" i="66"/>
  <c r="A12" i="66"/>
  <c r="M11" i="66"/>
  <c r="C11" i="66"/>
  <c r="C12" i="66" s="1"/>
  <c r="B11" i="66"/>
  <c r="B12" i="66" s="1"/>
  <c r="B13" i="66" s="1"/>
  <c r="B14" i="66" s="1"/>
  <c r="B15" i="66" s="1"/>
  <c r="B16" i="66" s="1"/>
  <c r="B17" i="66" s="1"/>
  <c r="B18" i="66" s="1"/>
  <c r="B19" i="66" s="1"/>
  <c r="B20" i="66" s="1"/>
  <c r="B21" i="66" s="1"/>
  <c r="B22" i="66" s="1"/>
  <c r="B23" i="66" s="1"/>
  <c r="B24" i="66" s="1"/>
  <c r="B25" i="66" s="1"/>
  <c r="B26" i="66" s="1"/>
  <c r="B27" i="66" s="1"/>
  <c r="B28" i="66" s="1"/>
  <c r="B29" i="66" s="1"/>
  <c r="B30" i="66" s="1"/>
  <c r="B31" i="66" s="1"/>
  <c r="B32" i="66" s="1"/>
  <c r="B33" i="66" s="1"/>
  <c r="B34" i="66" s="1"/>
  <c r="B35" i="66" s="1"/>
  <c r="B36" i="66" s="1"/>
  <c r="B37" i="66" s="1"/>
  <c r="B38" i="66" s="1"/>
  <c r="M9" i="66"/>
  <c r="M6" i="66"/>
  <c r="L6" i="66"/>
  <c r="M5" i="66"/>
  <c r="L5" i="66"/>
  <c r="K5" i="66"/>
  <c r="M3" i="66"/>
  <c r="M1" i="66"/>
  <c r="K29" i="65"/>
  <c r="J29" i="65"/>
  <c r="I29" i="65"/>
  <c r="K28" i="65"/>
  <c r="J28" i="65"/>
  <c r="I28" i="65"/>
  <c r="K27" i="65"/>
  <c r="J27" i="65"/>
  <c r="I27" i="65"/>
  <c r="K26" i="65"/>
  <c r="J26" i="65"/>
  <c r="I26" i="65"/>
  <c r="K25" i="65"/>
  <c r="J25" i="65"/>
  <c r="I25" i="65"/>
  <c r="K24" i="65"/>
  <c r="J24" i="65"/>
  <c r="I24" i="65"/>
  <c r="K23" i="65"/>
  <c r="J23" i="65"/>
  <c r="I23" i="65"/>
  <c r="K21" i="65"/>
  <c r="J21" i="65"/>
  <c r="I21" i="65"/>
  <c r="K20" i="65"/>
  <c r="J20" i="65"/>
  <c r="I20" i="65"/>
  <c r="K19" i="65"/>
  <c r="J19" i="65"/>
  <c r="I19" i="65"/>
  <c r="K18" i="65"/>
  <c r="J18" i="65"/>
  <c r="I18" i="65"/>
  <c r="K17" i="65"/>
  <c r="J17" i="65"/>
  <c r="I17" i="65"/>
  <c r="K16" i="65"/>
  <c r="J16" i="65"/>
  <c r="I16" i="65"/>
  <c r="K15" i="65"/>
  <c r="J15" i="65"/>
  <c r="I15" i="65"/>
  <c r="K12" i="65"/>
  <c r="J12" i="65"/>
  <c r="I12" i="65"/>
  <c r="K11" i="65"/>
  <c r="J11" i="65"/>
  <c r="I11" i="65"/>
  <c r="I31" i="65" s="1"/>
  <c r="I32" i="65" s="1"/>
  <c r="K6" i="65"/>
  <c r="J6" i="65"/>
  <c r="I6" i="65"/>
  <c r="G6" i="65"/>
  <c r="K4" i="65"/>
  <c r="G4" i="65"/>
  <c r="K3" i="65"/>
  <c r="H3" i="65"/>
  <c r="G3" i="65"/>
  <c r="M38" i="64"/>
  <c r="E38" i="64"/>
  <c r="M37" i="64"/>
  <c r="M36" i="64"/>
  <c r="M35" i="64"/>
  <c r="M34" i="64"/>
  <c r="M33" i="64"/>
  <c r="M32" i="64"/>
  <c r="M31" i="64"/>
  <c r="M30" i="64"/>
  <c r="M29" i="64"/>
  <c r="M28" i="64"/>
  <c r="M27" i="64"/>
  <c r="M26" i="64"/>
  <c r="M25" i="64"/>
  <c r="M24" i="64"/>
  <c r="M23" i="64"/>
  <c r="M22" i="64"/>
  <c r="M21" i="64"/>
  <c r="M20" i="64"/>
  <c r="M19" i="64"/>
  <c r="M18" i="64"/>
  <c r="M17" i="64"/>
  <c r="M16" i="64"/>
  <c r="M15" i="64"/>
  <c r="J16" i="68" s="1"/>
  <c r="A15" i="64"/>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M14" i="64"/>
  <c r="M13" i="64"/>
  <c r="J10" i="76" s="1"/>
  <c r="A13" i="64"/>
  <c r="A14" i="64" s="1"/>
  <c r="M12" i="64"/>
  <c r="A12" i="64"/>
  <c r="M11" i="64"/>
  <c r="C11" i="64"/>
  <c r="C12" i="64" s="1"/>
  <c r="C13" i="64" s="1"/>
  <c r="C14" i="64" s="1"/>
  <c r="C15" i="64" s="1"/>
  <c r="C16" i="64" s="1"/>
  <c r="C17" i="64" s="1"/>
  <c r="C18" i="64" s="1"/>
  <c r="C19" i="64" s="1"/>
  <c r="C20" i="64" s="1"/>
  <c r="C21" i="64" s="1"/>
  <c r="C22" i="64" s="1"/>
  <c r="C23" i="64" s="1"/>
  <c r="C24" i="64" s="1"/>
  <c r="C25" i="64" s="1"/>
  <c r="C26" i="64" s="1"/>
  <c r="C27" i="64" s="1"/>
  <c r="C28" i="64" s="1"/>
  <c r="C29" i="64" s="1"/>
  <c r="C30" i="64" s="1"/>
  <c r="C31" i="64" s="1"/>
  <c r="C32" i="64" s="1"/>
  <c r="C33" i="64" s="1"/>
  <c r="C34" i="64" s="1"/>
  <c r="C35" i="64" s="1"/>
  <c r="C36" i="64" s="1"/>
  <c r="C37" i="64" s="1"/>
  <c r="C38" i="64"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M9" i="64"/>
  <c r="L6" i="64"/>
  <c r="M5" i="64"/>
  <c r="L5" i="64"/>
  <c r="M3" i="64"/>
  <c r="M1" i="64"/>
  <c r="M28" i="63"/>
  <c r="J28" i="63"/>
  <c r="J27" i="63"/>
  <c r="J29" i="63" s="1"/>
  <c r="M22" i="63"/>
  <c r="J22" i="63"/>
  <c r="M16" i="63"/>
  <c r="L16" i="63"/>
  <c r="L22" i="63" s="1"/>
  <c r="L28" i="63" s="1"/>
  <c r="K16" i="63"/>
  <c r="K22" i="63" s="1"/>
  <c r="K28" i="63" s="1"/>
  <c r="J16" i="63"/>
  <c r="M10" i="63"/>
  <c r="L10" i="63"/>
  <c r="K10" i="63"/>
  <c r="J10" i="63"/>
  <c r="J3" i="63"/>
  <c r="C2" i="63"/>
  <c r="B2" i="63"/>
  <c r="K31" i="61"/>
  <c r="M27" i="61"/>
  <c r="L26" i="61"/>
  <c r="K26" i="61"/>
  <c r="J26" i="61"/>
  <c r="L25" i="61"/>
  <c r="L27" i="61" s="1"/>
  <c r="K16" i="61"/>
  <c r="J3" i="61"/>
  <c r="C2" i="61"/>
  <c r="B2" i="61"/>
  <c r="M27" i="60"/>
  <c r="L26" i="60"/>
  <c r="K26" i="60"/>
  <c r="J26" i="60"/>
  <c r="K30" i="60" s="1"/>
  <c r="K21" i="60"/>
  <c r="M18" i="60"/>
  <c r="L18" i="60"/>
  <c r="J18" i="60"/>
  <c r="L17" i="60"/>
  <c r="K17" i="60"/>
  <c r="J17" i="60"/>
  <c r="L16" i="60"/>
  <c r="L25" i="60" s="1"/>
  <c r="L27" i="60" s="1"/>
  <c r="K16" i="60"/>
  <c r="J16" i="60"/>
  <c r="J25" i="60" s="1"/>
  <c r="J27" i="60" s="1"/>
  <c r="K8" i="60"/>
  <c r="L7" i="60"/>
  <c r="J7" i="60"/>
  <c r="J3" i="60"/>
  <c r="K7" i="60" s="1"/>
  <c r="K9" i="60" s="1"/>
  <c r="M27" i="59"/>
  <c r="K27" i="59"/>
  <c r="L26" i="59"/>
  <c r="K26" i="59"/>
  <c r="J26" i="59"/>
  <c r="K30" i="59" s="1"/>
  <c r="J25" i="59"/>
  <c r="J27" i="59" s="1"/>
  <c r="K21" i="59"/>
  <c r="M18" i="59"/>
  <c r="K18" i="59"/>
  <c r="L17" i="59"/>
  <c r="K17" i="59"/>
  <c r="J17" i="59"/>
  <c r="L16" i="59"/>
  <c r="K16" i="59"/>
  <c r="K25" i="59" s="1"/>
  <c r="K8" i="59"/>
  <c r="K7" i="59"/>
  <c r="J7" i="59"/>
  <c r="J3" i="59"/>
  <c r="J16" i="59" s="1"/>
  <c r="J18" i="59" s="1"/>
  <c r="B29" i="58"/>
  <c r="B30" i="58" s="1"/>
  <c r="B31" i="58" s="1"/>
  <c r="B32" i="58" s="1"/>
  <c r="B33" i="58" s="1"/>
  <c r="B34" i="58" s="1"/>
  <c r="B35" i="58" s="1"/>
  <c r="B36" i="58" s="1"/>
  <c r="B37" i="58" s="1"/>
  <c r="B38" i="58" s="1"/>
  <c r="D20" i="58"/>
  <c r="D21" i="58" s="1"/>
  <c r="B18" i="58"/>
  <c r="B19" i="58" s="1"/>
  <c r="B20" i="58" s="1"/>
  <c r="B21" i="58" s="1"/>
  <c r="B22" i="58" s="1"/>
  <c r="B23" i="58" s="1"/>
  <c r="B24" i="58" s="1"/>
  <c r="B25" i="58" s="1"/>
  <c r="B26" i="58" s="1"/>
  <c r="B27" i="58" s="1"/>
  <c r="B28" i="58" s="1"/>
  <c r="E16" i="58"/>
  <c r="N15" i="58"/>
  <c r="C15" i="58"/>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N14" i="58"/>
  <c r="N13" i="58"/>
  <c r="N12" i="58"/>
  <c r="A12" i="58"/>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N11" i="58"/>
  <c r="C11" i="58"/>
  <c r="C12" i="58" s="1"/>
  <c r="C13" i="58" s="1"/>
  <c r="C14" i="58" s="1"/>
  <c r="B11" i="58"/>
  <c r="B12" i="58" s="1"/>
  <c r="B13" i="58" s="1"/>
  <c r="B14" i="58" s="1"/>
  <c r="B15" i="58" s="1"/>
  <c r="B16" i="58" s="1"/>
  <c r="B17" i="58" s="1"/>
  <c r="N9" i="58"/>
  <c r="N6" i="58"/>
  <c r="M6" i="58"/>
  <c r="N5" i="58"/>
  <c r="M5" i="58"/>
  <c r="N1" i="58"/>
  <c r="D21" i="57"/>
  <c r="D22" i="57" s="1"/>
  <c r="D23" i="57" s="1"/>
  <c r="D20" i="57"/>
  <c r="C19" i="57"/>
  <c r="C20" i="57" s="1"/>
  <c r="C21" i="57" s="1"/>
  <c r="C22" i="57" s="1"/>
  <c r="C23" i="57" s="1"/>
  <c r="C24" i="57" s="1"/>
  <c r="C25" i="57" s="1"/>
  <c r="C26" i="57" s="1"/>
  <c r="C27" i="57" s="1"/>
  <c r="C28" i="57" s="1"/>
  <c r="C29" i="57" s="1"/>
  <c r="C30" i="57" s="1"/>
  <c r="C31" i="57" s="1"/>
  <c r="C32" i="57" s="1"/>
  <c r="C33" i="57" s="1"/>
  <c r="C34" i="57" s="1"/>
  <c r="C35" i="57" s="1"/>
  <c r="C36" i="57" s="1"/>
  <c r="C37" i="57" s="1"/>
  <c r="C38" i="57" s="1"/>
  <c r="E18" i="57"/>
  <c r="E17" i="57"/>
  <c r="N17" i="57" s="1"/>
  <c r="E16" i="57"/>
  <c r="N16" i="57" s="1"/>
  <c r="A16" i="57"/>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N15" i="57"/>
  <c r="N14" i="57"/>
  <c r="A14" i="57"/>
  <c r="A15" i="57" s="1"/>
  <c r="N13" i="57"/>
  <c r="N12" i="57"/>
  <c r="A12" i="57"/>
  <c r="A13" i="57" s="1"/>
  <c r="N11" i="57"/>
  <c r="C11" i="57"/>
  <c r="C12" i="57" s="1"/>
  <c r="C13" i="57" s="1"/>
  <c r="C14" i="57" s="1"/>
  <c r="C15" i="57" s="1"/>
  <c r="C16" i="57" s="1"/>
  <c r="C17" i="57" s="1"/>
  <c r="C18" i="57" s="1"/>
  <c r="B11" i="57"/>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N9" i="57"/>
  <c r="N6" i="57"/>
  <c r="M6" i="57"/>
  <c r="N5" i="57"/>
  <c r="M5" i="57"/>
  <c r="N1" i="57"/>
  <c r="D20" i="56"/>
  <c r="C18" i="56"/>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E17" i="56"/>
  <c r="N16" i="56"/>
  <c r="E16" i="56"/>
  <c r="N15" i="56"/>
  <c r="C15" i="56"/>
  <c r="C16" i="56" s="1"/>
  <c r="C17" i="56" s="1"/>
  <c r="N14" i="56"/>
  <c r="N13" i="56"/>
  <c r="C13" i="56"/>
  <c r="C14" i="56" s="1"/>
  <c r="A13" i="56"/>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N12" i="56"/>
  <c r="A12" i="56"/>
  <c r="N11" i="56"/>
  <c r="C11" i="56"/>
  <c r="C12" i="56" s="1"/>
  <c r="B11" i="56"/>
  <c r="B12" i="56" s="1"/>
  <c r="B13" i="56" s="1"/>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34" i="56" s="1"/>
  <c r="B35" i="56" s="1"/>
  <c r="B36" i="56" s="1"/>
  <c r="B37" i="56" s="1"/>
  <c r="B38" i="56" s="1"/>
  <c r="N9" i="56"/>
  <c r="N6" i="56"/>
  <c r="M6" i="56"/>
  <c r="N5" i="56"/>
  <c r="M5" i="56"/>
  <c r="N1" i="56"/>
  <c r="A25" i="55"/>
  <c r="A26" i="55" s="1"/>
  <c r="A27" i="55" s="1"/>
  <c r="A28" i="55" s="1"/>
  <c r="A29" i="55" s="1"/>
  <c r="A30" i="55" s="1"/>
  <c r="A31" i="55" s="1"/>
  <c r="A32" i="55" s="1"/>
  <c r="A33" i="55" s="1"/>
  <c r="A34" i="55" s="1"/>
  <c r="A35" i="55" s="1"/>
  <c r="A36" i="55" s="1"/>
  <c r="A37" i="55" s="1"/>
  <c r="A38" i="55" s="1"/>
  <c r="E20" i="55"/>
  <c r="D20" i="55"/>
  <c r="D21" i="55" s="1"/>
  <c r="E19" i="55"/>
  <c r="M19" i="55" s="1"/>
  <c r="M18" i="55"/>
  <c r="M17" i="55"/>
  <c r="E17" i="55"/>
  <c r="E18" i="55" s="1"/>
  <c r="B17" i="55"/>
  <c r="B18" i="55" s="1"/>
  <c r="B19" i="55" s="1"/>
  <c r="B20" i="55" s="1"/>
  <c r="B21" i="55" s="1"/>
  <c r="B22" i="55" s="1"/>
  <c r="B23" i="55" s="1"/>
  <c r="B24" i="55" s="1"/>
  <c r="B25" i="55" s="1"/>
  <c r="B26" i="55" s="1"/>
  <c r="B27" i="55" s="1"/>
  <c r="B28" i="55" s="1"/>
  <c r="B29" i="55" s="1"/>
  <c r="B30" i="55" s="1"/>
  <c r="B31" i="55" s="1"/>
  <c r="B32" i="55" s="1"/>
  <c r="B33" i="55" s="1"/>
  <c r="B34" i="55" s="1"/>
  <c r="B35" i="55" s="1"/>
  <c r="B36" i="55" s="1"/>
  <c r="B37" i="55" s="1"/>
  <c r="B38" i="55" s="1"/>
  <c r="E16" i="55"/>
  <c r="M16" i="55" s="1"/>
  <c r="M15" i="55"/>
  <c r="M14" i="55"/>
  <c r="B14" i="55"/>
  <c r="B15" i="55" s="1"/>
  <c r="B16" i="55" s="1"/>
  <c r="M13" i="55"/>
  <c r="M12" i="55"/>
  <c r="C12" i="55"/>
  <c r="C13" i="55" s="1"/>
  <c r="C14" i="55" s="1"/>
  <c r="C15" i="55" s="1"/>
  <c r="C16" i="55" s="1"/>
  <c r="C17" i="55" s="1"/>
  <c r="C18" i="55" s="1"/>
  <c r="C19" i="55" s="1"/>
  <c r="C20" i="55" s="1"/>
  <c r="C21" i="55" s="1"/>
  <c r="C22" i="55" s="1"/>
  <c r="C23" i="55" s="1"/>
  <c r="C24" i="55" s="1"/>
  <c r="C25" i="55" s="1"/>
  <c r="C26" i="55" s="1"/>
  <c r="C27" i="55" s="1"/>
  <c r="C28" i="55" s="1"/>
  <c r="C29" i="55" s="1"/>
  <c r="C30" i="55" s="1"/>
  <c r="C31" i="55" s="1"/>
  <c r="C32" i="55" s="1"/>
  <c r="C33" i="55" s="1"/>
  <c r="C34" i="55" s="1"/>
  <c r="C35" i="55" s="1"/>
  <c r="C36" i="55" s="1"/>
  <c r="C37" i="55" s="1"/>
  <c r="C38" i="55" s="1"/>
  <c r="B12" i="55"/>
  <c r="B13" i="55" s="1"/>
  <c r="A12" i="55"/>
  <c r="A13" i="55" s="1"/>
  <c r="A14" i="55" s="1"/>
  <c r="A15" i="55" s="1"/>
  <c r="A16" i="55" s="1"/>
  <c r="A17" i="55" s="1"/>
  <c r="A18" i="55" s="1"/>
  <c r="A19" i="55" s="1"/>
  <c r="A20" i="55" s="1"/>
  <c r="A21" i="55" s="1"/>
  <c r="A22" i="55" s="1"/>
  <c r="A23" i="55" s="1"/>
  <c r="A24" i="55" s="1"/>
  <c r="M11" i="55"/>
  <c r="C11" i="55"/>
  <c r="B11" i="55"/>
  <c r="M9" i="55"/>
  <c r="M6" i="55"/>
  <c r="L6" i="55"/>
  <c r="M5" i="55"/>
  <c r="L5" i="55"/>
  <c r="M1" i="55"/>
  <c r="B33" i="54"/>
  <c r="B34" i="54" s="1"/>
  <c r="B35" i="54" s="1"/>
  <c r="B36" i="54" s="1"/>
  <c r="B37" i="54" s="1"/>
  <c r="B38" i="54" s="1"/>
  <c r="C31" i="54"/>
  <c r="C32" i="54" s="1"/>
  <c r="C33" i="54" s="1"/>
  <c r="C34" i="54" s="1"/>
  <c r="C35" i="54" s="1"/>
  <c r="C36" i="54" s="1"/>
  <c r="C37" i="54" s="1"/>
  <c r="C38" i="54" s="1"/>
  <c r="B25" i="54"/>
  <c r="B26" i="54" s="1"/>
  <c r="B27" i="54" s="1"/>
  <c r="B28" i="54" s="1"/>
  <c r="B29" i="54" s="1"/>
  <c r="B30" i="54" s="1"/>
  <c r="B31" i="54" s="1"/>
  <c r="B32" i="54" s="1"/>
  <c r="C23" i="54"/>
  <c r="C24" i="54" s="1"/>
  <c r="C25" i="54" s="1"/>
  <c r="C26" i="54" s="1"/>
  <c r="C27" i="54" s="1"/>
  <c r="C28" i="54" s="1"/>
  <c r="C29" i="54" s="1"/>
  <c r="C30" i="54" s="1"/>
  <c r="D20" i="54"/>
  <c r="M16" i="54"/>
  <c r="E16" i="54"/>
  <c r="E17" i="54" s="1"/>
  <c r="M15" i="54"/>
  <c r="M14" i="54"/>
  <c r="A14" i="54"/>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M13" i="54"/>
  <c r="M12" i="54"/>
  <c r="C12" i="54"/>
  <c r="C13" i="54" s="1"/>
  <c r="C14" i="54" s="1"/>
  <c r="C15" i="54" s="1"/>
  <c r="C16" i="54" s="1"/>
  <c r="C17" i="54" s="1"/>
  <c r="C18" i="54" s="1"/>
  <c r="C19" i="54" s="1"/>
  <c r="C20" i="54" s="1"/>
  <c r="C21" i="54" s="1"/>
  <c r="C22" i="54" s="1"/>
  <c r="B12" i="54"/>
  <c r="B13" i="54" s="1"/>
  <c r="B14" i="54" s="1"/>
  <c r="B15" i="54" s="1"/>
  <c r="B16" i="54" s="1"/>
  <c r="B17" i="54" s="1"/>
  <c r="B18" i="54" s="1"/>
  <c r="B19" i="54" s="1"/>
  <c r="B20" i="54" s="1"/>
  <c r="B21" i="54" s="1"/>
  <c r="B22" i="54" s="1"/>
  <c r="B23" i="54" s="1"/>
  <c r="B24" i="54" s="1"/>
  <c r="A12" i="54"/>
  <c r="A13" i="54" s="1"/>
  <c r="M11" i="54"/>
  <c r="C11" i="54"/>
  <c r="B11" i="54"/>
  <c r="M9" i="54"/>
  <c r="M6" i="54"/>
  <c r="L6" i="54"/>
  <c r="M5" i="54"/>
  <c r="L5" i="54"/>
  <c r="M1" i="54"/>
  <c r="C26" i="53"/>
  <c r="C27" i="53" s="1"/>
  <c r="C28" i="53" s="1"/>
  <c r="C29" i="53" s="1"/>
  <c r="C30" i="53" s="1"/>
  <c r="C31" i="53" s="1"/>
  <c r="C32" i="53" s="1"/>
  <c r="C33" i="53" s="1"/>
  <c r="C34" i="53" s="1"/>
  <c r="C35" i="53" s="1"/>
  <c r="C36" i="53" s="1"/>
  <c r="C37" i="53" s="1"/>
  <c r="C38" i="53" s="1"/>
  <c r="D20" i="53"/>
  <c r="D21" i="53" s="1"/>
  <c r="D22" i="53" s="1"/>
  <c r="D23" i="53" s="1"/>
  <c r="C17" i="53"/>
  <c r="C18" i="53" s="1"/>
  <c r="C19" i="53" s="1"/>
  <c r="C20" i="53" s="1"/>
  <c r="C21" i="53" s="1"/>
  <c r="C22" i="53" s="1"/>
  <c r="C23" i="53" s="1"/>
  <c r="C24" i="53" s="1"/>
  <c r="C25" i="53" s="1"/>
  <c r="E16" i="53"/>
  <c r="M16" i="53" s="1"/>
  <c r="B16" i="53"/>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M15" i="53"/>
  <c r="M14" i="53"/>
  <c r="M13" i="53"/>
  <c r="A13" i="53"/>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M12" i="53"/>
  <c r="C12" i="53"/>
  <c r="C13" i="53" s="1"/>
  <c r="C14" i="53" s="1"/>
  <c r="C15" i="53" s="1"/>
  <c r="C16" i="53" s="1"/>
  <c r="B12" i="53"/>
  <c r="B13" i="53" s="1"/>
  <c r="B14" i="53" s="1"/>
  <c r="B15" i="53" s="1"/>
  <c r="A12" i="53"/>
  <c r="M11" i="53"/>
  <c r="C11" i="53"/>
  <c r="B11" i="53"/>
  <c r="M9" i="53"/>
  <c r="M6" i="53"/>
  <c r="L6" i="53"/>
  <c r="M5" i="53"/>
  <c r="L5" i="53"/>
  <c r="M1" i="53"/>
  <c r="L16" i="52"/>
  <c r="L8" i="59" s="1"/>
  <c r="L15" i="52"/>
  <c r="L17" i="52" s="1"/>
  <c r="K15" i="52"/>
  <c r="K17" i="52" s="1"/>
  <c r="J15" i="52"/>
  <c r="E34" i="51"/>
  <c r="E35" i="51" s="1"/>
  <c r="E36" i="51" s="1"/>
  <c r="E37" i="51" s="1"/>
  <c r="E38" i="51" s="1"/>
  <c r="B34" i="51"/>
  <c r="B35" i="51" s="1"/>
  <c r="B36" i="51" s="1"/>
  <c r="B37" i="51" s="1"/>
  <c r="B38" i="51" s="1"/>
  <c r="E33" i="51"/>
  <c r="D18" i="51"/>
  <c r="C18" i="5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A18" i="5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N16" i="51"/>
  <c r="E16" i="51"/>
  <c r="E17" i="51" s="1"/>
  <c r="N15" i="51"/>
  <c r="A15" i="51"/>
  <c r="A16" i="51" s="1"/>
  <c r="A17" i="51" s="1"/>
  <c r="N14" i="51"/>
  <c r="C14" i="51"/>
  <c r="C15" i="51" s="1"/>
  <c r="C16" i="51" s="1"/>
  <c r="C17" i="51" s="1"/>
  <c r="N13" i="51"/>
  <c r="A13" i="51"/>
  <c r="A14" i="51" s="1"/>
  <c r="N12" i="51"/>
  <c r="C12" i="51"/>
  <c r="C13" i="51" s="1"/>
  <c r="A12" i="51"/>
  <c r="N11" i="51"/>
  <c r="C11" i="51"/>
  <c r="B11" i="51"/>
  <c r="B12" i="51" s="1"/>
  <c r="B13" i="51" s="1"/>
  <c r="B14" i="51" s="1"/>
  <c r="B15" i="51" s="1"/>
  <c r="B16" i="51" s="1"/>
  <c r="B17" i="51" s="1"/>
  <c r="B18" i="51" s="1"/>
  <c r="B19" i="51" s="1"/>
  <c r="B20" i="51" s="1"/>
  <c r="B21" i="51" s="1"/>
  <c r="B22" i="51" s="1"/>
  <c r="B23" i="51" s="1"/>
  <c r="B24" i="51" s="1"/>
  <c r="B25" i="51" s="1"/>
  <c r="B26" i="51" s="1"/>
  <c r="B27" i="51" s="1"/>
  <c r="B28" i="51" s="1"/>
  <c r="B29" i="51" s="1"/>
  <c r="B30" i="51" s="1"/>
  <c r="B31" i="51" s="1"/>
  <c r="B32" i="51" s="1"/>
  <c r="B33" i="51" s="1"/>
  <c r="N9" i="51"/>
  <c r="N6" i="51"/>
  <c r="M6" i="51"/>
  <c r="N5" i="51"/>
  <c r="M5" i="51"/>
  <c r="J4" i="51"/>
  <c r="G4" i="51"/>
  <c r="N3" i="51"/>
  <c r="N1" i="51"/>
  <c r="A35" i="50"/>
  <c r="A36" i="50" s="1"/>
  <c r="A37" i="50" s="1"/>
  <c r="A38" i="50" s="1"/>
  <c r="E34" i="50"/>
  <c r="E35" i="50" s="1"/>
  <c r="E36" i="50" s="1"/>
  <c r="E37" i="50" s="1"/>
  <c r="E38" i="50" s="1"/>
  <c r="E29" i="50"/>
  <c r="E30" i="50" s="1"/>
  <c r="E31" i="50" s="1"/>
  <c r="E32" i="50" s="1"/>
  <c r="E33" i="50" s="1"/>
  <c r="E28" i="50"/>
  <c r="D18" i="50"/>
  <c r="D19" i="50" s="1"/>
  <c r="D20" i="50" s="1"/>
  <c r="D21" i="50" s="1"/>
  <c r="E17" i="50"/>
  <c r="N17" i="50" s="1"/>
  <c r="N16" i="50"/>
  <c r="E16" i="50"/>
  <c r="N15" i="50"/>
  <c r="B15" i="50"/>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N14" i="50"/>
  <c r="N13" i="50"/>
  <c r="N12" i="50"/>
  <c r="A12" i="50"/>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N11" i="50"/>
  <c r="C11" i="50"/>
  <c r="C12" i="50" s="1"/>
  <c r="C13" i="50" s="1"/>
  <c r="C14" i="50" s="1"/>
  <c r="C15" i="50" s="1"/>
  <c r="C16" i="50" s="1"/>
  <c r="C17" i="50" s="1"/>
  <c r="C18" i="50" s="1"/>
  <c r="C19" i="50" s="1"/>
  <c r="C20" i="50" s="1"/>
  <c r="C21" i="50" s="1"/>
  <c r="C22" i="50" s="1"/>
  <c r="C23" i="50" s="1"/>
  <c r="C24" i="50" s="1"/>
  <c r="C25" i="50" s="1"/>
  <c r="C26" i="50" s="1"/>
  <c r="C27" i="50" s="1"/>
  <c r="C28" i="50" s="1"/>
  <c r="C29" i="50" s="1"/>
  <c r="C30" i="50" s="1"/>
  <c r="C31" i="50" s="1"/>
  <c r="C32" i="50" s="1"/>
  <c r="C33" i="50" s="1"/>
  <c r="C34" i="50" s="1"/>
  <c r="C35" i="50" s="1"/>
  <c r="C36" i="50" s="1"/>
  <c r="C37" i="50" s="1"/>
  <c r="C38" i="50" s="1"/>
  <c r="B11" i="50"/>
  <c r="B12" i="50" s="1"/>
  <c r="B13" i="50" s="1"/>
  <c r="B14" i="50" s="1"/>
  <c r="N9" i="50"/>
  <c r="N6" i="50"/>
  <c r="M6" i="50"/>
  <c r="N5" i="50"/>
  <c r="M5" i="50"/>
  <c r="J4" i="50"/>
  <c r="G4" i="50"/>
  <c r="N3" i="50"/>
  <c r="N1" i="50"/>
  <c r="K17" i="49"/>
  <c r="L16" i="49"/>
  <c r="K16" i="49"/>
  <c r="L15" i="49"/>
  <c r="L17" i="49" s="1"/>
  <c r="K15" i="49"/>
  <c r="J15" i="49"/>
  <c r="N57" i="48"/>
  <c r="O57" i="48" s="1"/>
  <c r="M57" i="48"/>
  <c r="M56" i="48"/>
  <c r="M55" i="48"/>
  <c r="N54" i="48"/>
  <c r="O52" i="48" s="1"/>
  <c r="M54" i="48"/>
  <c r="M52" i="48"/>
  <c r="M51" i="48"/>
  <c r="M50" i="48"/>
  <c r="M49" i="48"/>
  <c r="N44" i="48"/>
  <c r="M44" i="48"/>
  <c r="M43" i="48"/>
  <c r="O43" i="48" s="1"/>
  <c r="M42" i="48"/>
  <c r="N41" i="48"/>
  <c r="O40" i="48" s="1"/>
  <c r="M41" i="48"/>
  <c r="N40" i="48"/>
  <c r="M40" i="48"/>
  <c r="M39" i="48"/>
  <c r="M38" i="48"/>
  <c r="N37" i="48"/>
  <c r="O36" i="48" s="1"/>
  <c r="M37" i="48"/>
  <c r="N36" i="48"/>
  <c r="M36" i="48"/>
  <c r="M35" i="48"/>
  <c r="M34" i="48"/>
  <c r="N33" i="48"/>
  <c r="O32" i="48" s="1"/>
  <c r="M33" i="48"/>
  <c r="M32" i="48"/>
  <c r="M31" i="48"/>
  <c r="M30" i="48"/>
  <c r="M29" i="48"/>
  <c r="N28" i="48"/>
  <c r="M28" i="48"/>
  <c r="M27" i="48"/>
  <c r="O27" i="48" s="1"/>
  <c r="M26" i="48"/>
  <c r="A26" i="48"/>
  <c r="A27" i="48" s="1"/>
  <c r="A28" i="48" s="1"/>
  <c r="A29" i="48" s="1"/>
  <c r="A30" i="48" s="1"/>
  <c r="A31" i="48" s="1"/>
  <c r="A32" i="48" s="1"/>
  <c r="A33" i="48" s="1"/>
  <c r="A34" i="48" s="1"/>
  <c r="A35" i="48" s="1"/>
  <c r="A36" i="48" s="1"/>
  <c r="A37" i="48" s="1"/>
  <c r="A38" i="48" s="1"/>
  <c r="A39" i="48" s="1"/>
  <c r="A40" i="48" s="1"/>
  <c r="A41" i="48" s="1"/>
  <c r="A42" i="48" s="1"/>
  <c r="A43" i="48" s="1"/>
  <c r="A44" i="48" s="1"/>
  <c r="A49" i="48" s="1"/>
  <c r="A50" i="48" s="1"/>
  <c r="A51" i="48" s="1"/>
  <c r="A52" i="48" s="1"/>
  <c r="A54" i="48" s="1"/>
  <c r="A55" i="48" s="1"/>
  <c r="A56" i="48" s="1"/>
  <c r="A57" i="48" s="1"/>
  <c r="N25" i="48"/>
  <c r="O24" i="48" s="1"/>
  <c r="M25" i="48"/>
  <c r="N24" i="48"/>
  <c r="M24" i="48"/>
  <c r="B24" i="48"/>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9" i="48" s="1"/>
  <c r="B50" i="48" s="1"/>
  <c r="B51" i="48" s="1"/>
  <c r="B52" i="48" s="1"/>
  <c r="B54" i="48" s="1"/>
  <c r="B55" i="48" s="1"/>
  <c r="B56" i="48" s="1"/>
  <c r="B57" i="48" s="1"/>
  <c r="A24" i="48"/>
  <c r="A25" i="48" s="1"/>
  <c r="M23" i="48"/>
  <c r="C23" i="48"/>
  <c r="C24" i="48" s="1"/>
  <c r="C25" i="48" s="1"/>
  <c r="C26" i="48" s="1"/>
  <c r="C27" i="48" s="1"/>
  <c r="C28" i="48" s="1"/>
  <c r="C29" i="48" s="1"/>
  <c r="C30" i="48" s="1"/>
  <c r="C31" i="48" s="1"/>
  <c r="C32" i="48" s="1"/>
  <c r="C33" i="48" s="1"/>
  <c r="C34" i="48" s="1"/>
  <c r="C35" i="48" s="1"/>
  <c r="C36" i="48" s="1"/>
  <c r="C37" i="48" s="1"/>
  <c r="C38" i="48" s="1"/>
  <c r="C39" i="48" s="1"/>
  <c r="C40" i="48" s="1"/>
  <c r="C41" i="48" s="1"/>
  <c r="C42" i="48" s="1"/>
  <c r="C43" i="48" s="1"/>
  <c r="C44" i="48" s="1"/>
  <c r="C49" i="48" s="1"/>
  <c r="C50" i="48" s="1"/>
  <c r="C51" i="48" s="1"/>
  <c r="C52" i="48" s="1"/>
  <c r="C54" i="48" s="1"/>
  <c r="C55" i="48" s="1"/>
  <c r="C56" i="48" s="1"/>
  <c r="C57" i="48" s="1"/>
  <c r="B23" i="48"/>
  <c r="E21" i="48"/>
  <c r="D21" i="48"/>
  <c r="G20" i="48"/>
  <c r="E20" i="48"/>
  <c r="D20" i="48"/>
  <c r="I13" i="48"/>
  <c r="I12" i="48"/>
  <c r="I10" i="48"/>
  <c r="G10" i="48"/>
  <c r="I7" i="48"/>
  <c r="G7" i="48"/>
  <c r="G6" i="48"/>
  <c r="K7" i="48" s="1"/>
  <c r="J4" i="48"/>
  <c r="C4" i="48"/>
  <c r="J3" i="48"/>
  <c r="L16" i="47"/>
  <c r="K16" i="47"/>
  <c r="L15" i="47"/>
  <c r="L17" i="47" s="1"/>
  <c r="K15" i="47"/>
  <c r="J15" i="47"/>
  <c r="N51" i="46"/>
  <c r="N37" i="46"/>
  <c r="C35" i="46"/>
  <c r="C36" i="46" s="1"/>
  <c r="C37" i="46" s="1"/>
  <c r="C38" i="46" s="1"/>
  <c r="C39" i="46" s="1"/>
  <c r="C40" i="46" s="1"/>
  <c r="C41" i="46" s="1"/>
  <c r="C42" i="46" s="1"/>
  <c r="C43" i="46" s="1"/>
  <c r="C44" i="46" s="1"/>
  <c r="C49" i="46" s="1"/>
  <c r="C50" i="46" s="1"/>
  <c r="C51" i="46" s="1"/>
  <c r="C52" i="46" s="1"/>
  <c r="C54" i="46" s="1"/>
  <c r="C55" i="46" s="1"/>
  <c r="C56" i="46" s="1"/>
  <c r="C57" i="46" s="1"/>
  <c r="N29" i="46"/>
  <c r="C27" i="46"/>
  <c r="C28" i="46" s="1"/>
  <c r="C29" i="46" s="1"/>
  <c r="C30" i="46" s="1"/>
  <c r="C31" i="46" s="1"/>
  <c r="C32" i="46" s="1"/>
  <c r="C33" i="46" s="1"/>
  <c r="C34" i="46" s="1"/>
  <c r="B25" i="46"/>
  <c r="B26" i="46" s="1"/>
  <c r="B27" i="46" s="1"/>
  <c r="B28" i="46" s="1"/>
  <c r="B29" i="46" s="1"/>
  <c r="B30" i="46" s="1"/>
  <c r="B31" i="46" s="1"/>
  <c r="B32" i="46" s="1"/>
  <c r="B33" i="46" s="1"/>
  <c r="B34" i="46" s="1"/>
  <c r="B35" i="46" s="1"/>
  <c r="B36" i="46" s="1"/>
  <c r="B37" i="46" s="1"/>
  <c r="B38" i="46" s="1"/>
  <c r="B39" i="46" s="1"/>
  <c r="B40" i="46" s="1"/>
  <c r="B41" i="46" s="1"/>
  <c r="B42" i="46" s="1"/>
  <c r="B43" i="46" s="1"/>
  <c r="B44" i="46" s="1"/>
  <c r="B49" i="46" s="1"/>
  <c r="B50" i="46" s="1"/>
  <c r="B51" i="46" s="1"/>
  <c r="B52" i="46" s="1"/>
  <c r="B54" i="46" s="1"/>
  <c r="B55" i="46" s="1"/>
  <c r="B56" i="46" s="1"/>
  <c r="B57" i="46" s="1"/>
  <c r="A25" i="46"/>
  <c r="A26" i="46" s="1"/>
  <c r="A27" i="46" s="1"/>
  <c r="A28" i="46" s="1"/>
  <c r="A29" i="46" s="1"/>
  <c r="A30" i="46" s="1"/>
  <c r="A31" i="46" s="1"/>
  <c r="A32" i="46" s="1"/>
  <c r="A33" i="46" s="1"/>
  <c r="A34" i="46" s="1"/>
  <c r="A35" i="46" s="1"/>
  <c r="A36" i="46" s="1"/>
  <c r="A37" i="46" s="1"/>
  <c r="A38" i="46" s="1"/>
  <c r="A39" i="46" s="1"/>
  <c r="A40" i="46" s="1"/>
  <c r="A41" i="46" s="1"/>
  <c r="A42" i="46" s="1"/>
  <c r="A43" i="46" s="1"/>
  <c r="A44" i="46" s="1"/>
  <c r="A49" i="46" s="1"/>
  <c r="A50" i="46" s="1"/>
  <c r="A51" i="46" s="1"/>
  <c r="A52" i="46" s="1"/>
  <c r="A54" i="46" s="1"/>
  <c r="A55" i="46" s="1"/>
  <c r="A56" i="46" s="1"/>
  <c r="A57" i="46" s="1"/>
  <c r="B24" i="46"/>
  <c r="A24" i="46"/>
  <c r="M23" i="46"/>
  <c r="C23" i="46"/>
  <c r="C24" i="46" s="1"/>
  <c r="C25" i="46" s="1"/>
  <c r="C26" i="46" s="1"/>
  <c r="B23" i="46"/>
  <c r="D21" i="46"/>
  <c r="G20" i="46"/>
  <c r="E20" i="46"/>
  <c r="D20" i="46"/>
  <c r="I13" i="46"/>
  <c r="E21" i="46" s="1"/>
  <c r="I12" i="46"/>
  <c r="G10" i="46"/>
  <c r="I10" i="46" s="1"/>
  <c r="K7" i="46"/>
  <c r="I7" i="46"/>
  <c r="G7" i="46"/>
  <c r="G6" i="46"/>
  <c r="J4" i="46"/>
  <c r="C4" i="46"/>
  <c r="J3" i="46"/>
  <c r="N38" i="45"/>
  <c r="N37" i="45"/>
  <c r="B33" i="45"/>
  <c r="B34" i="45" s="1"/>
  <c r="B35" i="45" s="1"/>
  <c r="B36" i="45" s="1"/>
  <c r="B37" i="45" s="1"/>
  <c r="B38" i="45" s="1"/>
  <c r="B39" i="45" s="1"/>
  <c r="B40" i="45" s="1"/>
  <c r="B41" i="45" s="1"/>
  <c r="B42" i="45" s="1"/>
  <c r="B43" i="45" s="1"/>
  <c r="B44" i="45" s="1"/>
  <c r="B49" i="45" s="1"/>
  <c r="B50" i="45" s="1"/>
  <c r="B51" i="45" s="1"/>
  <c r="B52" i="45" s="1"/>
  <c r="B54" i="45" s="1"/>
  <c r="B55" i="45" s="1"/>
  <c r="B56" i="45" s="1"/>
  <c r="B57" i="45" s="1"/>
  <c r="A33" i="45"/>
  <c r="A34" i="45" s="1"/>
  <c r="A35" i="45" s="1"/>
  <c r="A36" i="45" s="1"/>
  <c r="A37" i="45" s="1"/>
  <c r="A38" i="45" s="1"/>
  <c r="A39" i="45" s="1"/>
  <c r="A40" i="45" s="1"/>
  <c r="A41" i="45" s="1"/>
  <c r="A42" i="45" s="1"/>
  <c r="A43" i="45" s="1"/>
  <c r="A44" i="45" s="1"/>
  <c r="A49" i="45" s="1"/>
  <c r="A50" i="45" s="1"/>
  <c r="A51" i="45" s="1"/>
  <c r="A52" i="45" s="1"/>
  <c r="A54" i="45" s="1"/>
  <c r="A55" i="45" s="1"/>
  <c r="A56" i="45" s="1"/>
  <c r="A57" i="45" s="1"/>
  <c r="B26" i="45"/>
  <c r="B27" i="45" s="1"/>
  <c r="B28" i="45" s="1"/>
  <c r="B29" i="45" s="1"/>
  <c r="B30" i="45" s="1"/>
  <c r="B31" i="45" s="1"/>
  <c r="B32" i="45" s="1"/>
  <c r="B25" i="45"/>
  <c r="C24" i="45"/>
  <c r="C25" i="45" s="1"/>
  <c r="C26" i="45" s="1"/>
  <c r="C27" i="45" s="1"/>
  <c r="C28" i="45" s="1"/>
  <c r="C29" i="45" s="1"/>
  <c r="C30" i="45" s="1"/>
  <c r="C31" i="45" s="1"/>
  <c r="C32" i="45" s="1"/>
  <c r="C33" i="45" s="1"/>
  <c r="C34" i="45" s="1"/>
  <c r="C35" i="45" s="1"/>
  <c r="C36" i="45" s="1"/>
  <c r="C37" i="45" s="1"/>
  <c r="C38" i="45" s="1"/>
  <c r="C39" i="45" s="1"/>
  <c r="C40" i="45" s="1"/>
  <c r="C41" i="45" s="1"/>
  <c r="C42" i="45" s="1"/>
  <c r="C43" i="45" s="1"/>
  <c r="C44" i="45" s="1"/>
  <c r="C49" i="45" s="1"/>
  <c r="C50" i="45" s="1"/>
  <c r="C51" i="45" s="1"/>
  <c r="C52" i="45" s="1"/>
  <c r="C54" i="45" s="1"/>
  <c r="C55" i="45" s="1"/>
  <c r="C56" i="45" s="1"/>
  <c r="C57" i="45" s="1"/>
  <c r="B24" i="45"/>
  <c r="A24" i="45"/>
  <c r="A25" i="45" s="1"/>
  <c r="A26" i="45" s="1"/>
  <c r="A27" i="45" s="1"/>
  <c r="A28" i="45" s="1"/>
  <c r="A29" i="45" s="1"/>
  <c r="A30" i="45" s="1"/>
  <c r="A31" i="45" s="1"/>
  <c r="A32" i="45" s="1"/>
  <c r="M23" i="45"/>
  <c r="C23" i="45"/>
  <c r="B23" i="45"/>
  <c r="E21" i="45"/>
  <c r="D21" i="45"/>
  <c r="E20" i="45"/>
  <c r="D20" i="45"/>
  <c r="I13" i="45"/>
  <c r="I12" i="45"/>
  <c r="F10" i="45"/>
  <c r="I10" i="45" s="1"/>
  <c r="N29" i="45" s="1"/>
  <c r="K7" i="45"/>
  <c r="I7" i="45"/>
  <c r="J4" i="45"/>
  <c r="C4" i="45"/>
  <c r="J3" i="45"/>
  <c r="M57" i="44"/>
  <c r="M56" i="44"/>
  <c r="N55" i="44"/>
  <c r="O55" i="44" s="1"/>
  <c r="M55" i="44"/>
  <c r="M54" i="44"/>
  <c r="M52" i="44"/>
  <c r="M51" i="44"/>
  <c r="N50" i="44"/>
  <c r="M50" i="44"/>
  <c r="M49" i="44"/>
  <c r="M44" i="44"/>
  <c r="M43" i="44"/>
  <c r="N42" i="44"/>
  <c r="M42" i="44"/>
  <c r="M41" i="44"/>
  <c r="M40" i="44"/>
  <c r="M39" i="44"/>
  <c r="N38" i="44"/>
  <c r="M38" i="44"/>
  <c r="M37" i="44"/>
  <c r="O37" i="44" s="1"/>
  <c r="M36" i="44"/>
  <c r="M35" i="44"/>
  <c r="N34" i="44"/>
  <c r="M34" i="44"/>
  <c r="M33" i="44"/>
  <c r="M32" i="44"/>
  <c r="B32" i="44"/>
  <c r="B33" i="44" s="1"/>
  <c r="B34" i="44" s="1"/>
  <c r="B35" i="44" s="1"/>
  <c r="B36" i="44" s="1"/>
  <c r="B37" i="44" s="1"/>
  <c r="B38" i="44" s="1"/>
  <c r="B39" i="44" s="1"/>
  <c r="B40" i="44" s="1"/>
  <c r="B41" i="44" s="1"/>
  <c r="B42" i="44" s="1"/>
  <c r="B43" i="44" s="1"/>
  <c r="B44" i="44" s="1"/>
  <c r="B49" i="44" s="1"/>
  <c r="B50" i="44" s="1"/>
  <c r="B51" i="44" s="1"/>
  <c r="B52" i="44" s="1"/>
  <c r="B54" i="44" s="1"/>
  <c r="B55" i="44" s="1"/>
  <c r="B56" i="44" s="1"/>
  <c r="B57" i="44" s="1"/>
  <c r="M31" i="44"/>
  <c r="N30" i="44"/>
  <c r="M30" i="44"/>
  <c r="M29" i="44"/>
  <c r="M28" i="44"/>
  <c r="B28" i="44"/>
  <c r="B29" i="44" s="1"/>
  <c r="B30" i="44" s="1"/>
  <c r="B31" i="44" s="1"/>
  <c r="M27" i="44"/>
  <c r="N26" i="44"/>
  <c r="M26" i="44"/>
  <c r="M25" i="44"/>
  <c r="O25" i="44" s="1"/>
  <c r="C25" i="44"/>
  <c r="C26" i="44" s="1"/>
  <c r="C27" i="44" s="1"/>
  <c r="C28" i="44" s="1"/>
  <c r="C29" i="44" s="1"/>
  <c r="C30" i="44" s="1"/>
  <c r="C31" i="44" s="1"/>
  <c r="C32" i="44" s="1"/>
  <c r="C33" i="44" s="1"/>
  <c r="C34" i="44" s="1"/>
  <c r="C35" i="44" s="1"/>
  <c r="C36" i="44" s="1"/>
  <c r="C37" i="44" s="1"/>
  <c r="C38" i="44" s="1"/>
  <c r="C39" i="44" s="1"/>
  <c r="C40" i="44" s="1"/>
  <c r="C41" i="44" s="1"/>
  <c r="C42" i="44" s="1"/>
  <c r="C43" i="44" s="1"/>
  <c r="C44" i="44" s="1"/>
  <c r="C49" i="44" s="1"/>
  <c r="C50" i="44" s="1"/>
  <c r="C51" i="44" s="1"/>
  <c r="C52" i="44" s="1"/>
  <c r="C54" i="44" s="1"/>
  <c r="C55" i="44" s="1"/>
  <c r="C56" i="44" s="1"/>
  <c r="C57" i="44" s="1"/>
  <c r="M24" i="44"/>
  <c r="C24" i="44"/>
  <c r="B24" i="44"/>
  <c r="B25" i="44" s="1"/>
  <c r="B26" i="44" s="1"/>
  <c r="B27" i="44" s="1"/>
  <c r="A24" i="44"/>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9" i="44" s="1"/>
  <c r="A50" i="44" s="1"/>
  <c r="A51" i="44" s="1"/>
  <c r="A52" i="44" s="1"/>
  <c r="A54" i="44" s="1"/>
  <c r="A55" i="44" s="1"/>
  <c r="A56" i="44" s="1"/>
  <c r="A57" i="44" s="1"/>
  <c r="M23" i="44"/>
  <c r="C23" i="44"/>
  <c r="B23" i="44"/>
  <c r="E21" i="44"/>
  <c r="D21" i="44"/>
  <c r="E20" i="44"/>
  <c r="D20" i="44"/>
  <c r="I13" i="44"/>
  <c r="I12" i="44"/>
  <c r="I10" i="44"/>
  <c r="N56" i="44" s="1"/>
  <c r="O56" i="44" s="1"/>
  <c r="F10" i="44"/>
  <c r="K7" i="44"/>
  <c r="I7" i="44"/>
  <c r="J4" i="44"/>
  <c r="C4" i="44"/>
  <c r="J3" i="44"/>
  <c r="M57" i="43"/>
  <c r="M56" i="43"/>
  <c r="M55" i="43"/>
  <c r="M54" i="43"/>
  <c r="M52" i="43"/>
  <c r="M51" i="43"/>
  <c r="M50" i="43"/>
  <c r="M49" i="43"/>
  <c r="M44" i="43"/>
  <c r="C44" i="43"/>
  <c r="C49" i="43" s="1"/>
  <c r="C50" i="43" s="1"/>
  <c r="C51" i="43" s="1"/>
  <c r="C52" i="43" s="1"/>
  <c r="C54" i="43" s="1"/>
  <c r="C55" i="43" s="1"/>
  <c r="C56" i="43" s="1"/>
  <c r="C57" i="43" s="1"/>
  <c r="M43" i="43"/>
  <c r="M42" i="43"/>
  <c r="M41" i="43"/>
  <c r="M40" i="43"/>
  <c r="M39" i="43"/>
  <c r="M38" i="43"/>
  <c r="N37" i="43"/>
  <c r="M37" i="43"/>
  <c r="M36" i="43"/>
  <c r="M35" i="43"/>
  <c r="M34" i="43"/>
  <c r="N33" i="43"/>
  <c r="M33" i="43"/>
  <c r="M32" i="43"/>
  <c r="C32" i="43"/>
  <c r="C33" i="43" s="1"/>
  <c r="C34" i="43" s="1"/>
  <c r="C35" i="43" s="1"/>
  <c r="C36" i="43" s="1"/>
  <c r="C37" i="43" s="1"/>
  <c r="C38" i="43" s="1"/>
  <c r="C39" i="43" s="1"/>
  <c r="C40" i="43" s="1"/>
  <c r="C41" i="43" s="1"/>
  <c r="C42" i="43" s="1"/>
  <c r="C43" i="43" s="1"/>
  <c r="M31" i="43"/>
  <c r="M30" i="43"/>
  <c r="M29" i="43"/>
  <c r="M28" i="43"/>
  <c r="C28" i="43"/>
  <c r="C29" i="43" s="1"/>
  <c r="C30" i="43" s="1"/>
  <c r="C31" i="43" s="1"/>
  <c r="M27" i="43"/>
  <c r="M26" i="43"/>
  <c r="M25" i="43"/>
  <c r="M24" i="43"/>
  <c r="C24" i="43"/>
  <c r="C25" i="43" s="1"/>
  <c r="C26" i="43" s="1"/>
  <c r="C27" i="43" s="1"/>
  <c r="B24" i="43"/>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9" i="43" s="1"/>
  <c r="B50" i="43" s="1"/>
  <c r="B51" i="43" s="1"/>
  <c r="B52" i="43" s="1"/>
  <c r="B54" i="43" s="1"/>
  <c r="B55" i="43" s="1"/>
  <c r="B56" i="43" s="1"/>
  <c r="B57" i="43" s="1"/>
  <c r="A24" i="43"/>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9" i="43" s="1"/>
  <c r="A50" i="43" s="1"/>
  <c r="A51" i="43" s="1"/>
  <c r="A52" i="43" s="1"/>
  <c r="A54" i="43" s="1"/>
  <c r="A55" i="43" s="1"/>
  <c r="A56" i="43" s="1"/>
  <c r="A57" i="43" s="1"/>
  <c r="M23" i="43"/>
  <c r="C23" i="43"/>
  <c r="B23" i="43"/>
  <c r="E21" i="43"/>
  <c r="D21" i="43"/>
  <c r="E20" i="43"/>
  <c r="D20" i="43"/>
  <c r="I13" i="43"/>
  <c r="I12" i="43"/>
  <c r="F10" i="43"/>
  <c r="I10" i="43" s="1"/>
  <c r="N25" i="43" s="1"/>
  <c r="K7" i="43"/>
  <c r="I7" i="43"/>
  <c r="J4" i="43"/>
  <c r="C4" i="43"/>
  <c r="J3" i="43"/>
  <c r="K17" i="42"/>
  <c r="L16" i="42"/>
  <c r="L17" i="42" s="1"/>
  <c r="K16" i="42"/>
  <c r="L15" i="42"/>
  <c r="K15" i="42"/>
  <c r="J15" i="42"/>
  <c r="C2" i="42"/>
  <c r="B2" i="42"/>
  <c r="A2" i="42"/>
  <c r="L21" i="41"/>
  <c r="C17" i="41"/>
  <c r="G17" i="41" s="1"/>
  <c r="L15" i="41"/>
  <c r="C15" i="41"/>
  <c r="L13" i="41"/>
  <c r="N13" i="41" s="1"/>
  <c r="C13" i="41"/>
  <c r="G13" i="41" s="1"/>
  <c r="C5" i="41"/>
  <c r="G5" i="41" s="1"/>
  <c r="G2" i="41"/>
  <c r="N21" i="41" s="1"/>
  <c r="M57" i="40"/>
  <c r="O56" i="40"/>
  <c r="N56" i="40"/>
  <c r="M56" i="40"/>
  <c r="M55" i="40"/>
  <c r="M54" i="40"/>
  <c r="A54" i="40"/>
  <c r="A55" i="40" s="1"/>
  <c r="A56" i="40" s="1"/>
  <c r="A57" i="40" s="1"/>
  <c r="M52" i="40"/>
  <c r="N51" i="40"/>
  <c r="M51" i="40"/>
  <c r="M50" i="40"/>
  <c r="M49" i="40"/>
  <c r="M44" i="40"/>
  <c r="N43" i="40"/>
  <c r="M43" i="40"/>
  <c r="M42" i="40"/>
  <c r="M41" i="40"/>
  <c r="M40" i="40"/>
  <c r="N39" i="40"/>
  <c r="M39" i="40"/>
  <c r="M38" i="40"/>
  <c r="O38" i="40" s="1"/>
  <c r="M37" i="40"/>
  <c r="B37" i="40"/>
  <c r="B38" i="40" s="1"/>
  <c r="B39" i="40" s="1"/>
  <c r="B40" i="40" s="1"/>
  <c r="B41" i="40" s="1"/>
  <c r="B42" i="40" s="1"/>
  <c r="B43" i="40" s="1"/>
  <c r="B44" i="40" s="1"/>
  <c r="B49" i="40" s="1"/>
  <c r="B50" i="40" s="1"/>
  <c r="B51" i="40" s="1"/>
  <c r="B52" i="40" s="1"/>
  <c r="B54" i="40" s="1"/>
  <c r="B55" i="40" s="1"/>
  <c r="B56" i="40" s="1"/>
  <c r="B57" i="40" s="1"/>
  <c r="M36" i="40"/>
  <c r="N35" i="40"/>
  <c r="M35" i="40"/>
  <c r="O34" i="40"/>
  <c r="M34" i="40"/>
  <c r="M33" i="40"/>
  <c r="M32" i="40"/>
  <c r="N31" i="40"/>
  <c r="O30" i="40" s="1"/>
  <c r="M31" i="40"/>
  <c r="M30" i="40"/>
  <c r="B30" i="40"/>
  <c r="B31" i="40" s="1"/>
  <c r="B32" i="40" s="1"/>
  <c r="B33" i="40" s="1"/>
  <c r="B34" i="40" s="1"/>
  <c r="B35" i="40" s="1"/>
  <c r="B36" i="40" s="1"/>
  <c r="M29" i="40"/>
  <c r="M28" i="40"/>
  <c r="C25" i="41" s="1"/>
  <c r="G25" i="41" s="1"/>
  <c r="N27" i="40"/>
  <c r="M27" i="40"/>
  <c r="C23" i="41" s="1"/>
  <c r="G23" i="41" s="1"/>
  <c r="M26" i="40"/>
  <c r="C21" i="41" s="1"/>
  <c r="G21" i="41" s="1"/>
  <c r="M25" i="40"/>
  <c r="B25" i="40"/>
  <c r="B26" i="40" s="1"/>
  <c r="B27" i="40" s="1"/>
  <c r="B28" i="40" s="1"/>
  <c r="B29" i="40" s="1"/>
  <c r="A25" i="40"/>
  <c r="A26" i="40" s="1"/>
  <c r="A27" i="40" s="1"/>
  <c r="A28" i="40" s="1"/>
  <c r="A29" i="40" s="1"/>
  <c r="A30" i="40" s="1"/>
  <c r="A31" i="40" s="1"/>
  <c r="A32" i="40" s="1"/>
  <c r="A33" i="40" s="1"/>
  <c r="A34" i="40" s="1"/>
  <c r="A35" i="40" s="1"/>
  <c r="A36" i="40" s="1"/>
  <c r="A37" i="40" s="1"/>
  <c r="A38" i="40" s="1"/>
  <c r="A39" i="40" s="1"/>
  <c r="A40" i="40" s="1"/>
  <c r="A41" i="40" s="1"/>
  <c r="A42" i="40" s="1"/>
  <c r="A43" i="40" s="1"/>
  <c r="A44" i="40" s="1"/>
  <c r="A49" i="40" s="1"/>
  <c r="A50" i="40" s="1"/>
  <c r="A51" i="40" s="1"/>
  <c r="A52" i="40" s="1"/>
  <c r="M24" i="40"/>
  <c r="B24" i="40"/>
  <c r="A24" i="40"/>
  <c r="N23" i="40"/>
  <c r="M23" i="40"/>
  <c r="C23" i="40"/>
  <c r="C24" i="40" s="1"/>
  <c r="C25" i="40" s="1"/>
  <c r="C26" i="40" s="1"/>
  <c r="C27" i="40" s="1"/>
  <c r="C28" i="40" s="1"/>
  <c r="C29" i="40" s="1"/>
  <c r="C30" i="40" s="1"/>
  <c r="C31" i="40" s="1"/>
  <c r="C32" i="40" s="1"/>
  <c r="C33" i="40" s="1"/>
  <c r="C34" i="40" s="1"/>
  <c r="C35" i="40" s="1"/>
  <c r="C36" i="40" s="1"/>
  <c r="C37" i="40" s="1"/>
  <c r="C38" i="40" s="1"/>
  <c r="C39" i="40" s="1"/>
  <c r="C40" i="40" s="1"/>
  <c r="C41" i="40" s="1"/>
  <c r="C42" i="40" s="1"/>
  <c r="C43" i="40" s="1"/>
  <c r="C44" i="40" s="1"/>
  <c r="C49" i="40" s="1"/>
  <c r="C50" i="40" s="1"/>
  <c r="C51" i="40" s="1"/>
  <c r="C52" i="40" s="1"/>
  <c r="C54" i="40" s="1"/>
  <c r="C55" i="40" s="1"/>
  <c r="C56" i="40" s="1"/>
  <c r="C57" i="40" s="1"/>
  <c r="B23" i="40"/>
  <c r="D21" i="40"/>
  <c r="E20" i="40"/>
  <c r="D20" i="40"/>
  <c r="I13" i="40"/>
  <c r="E21" i="40" s="1"/>
  <c r="I12" i="40"/>
  <c r="I10" i="40"/>
  <c r="N57" i="40" s="1"/>
  <c r="O57" i="40" s="1"/>
  <c r="F10" i="40"/>
  <c r="K7" i="40"/>
  <c r="I7" i="40"/>
  <c r="J4" i="40"/>
  <c r="C4" i="40"/>
  <c r="J3" i="40"/>
  <c r="L16" i="39"/>
  <c r="K16" i="39"/>
  <c r="K17" i="39" s="1"/>
  <c r="L15" i="39"/>
  <c r="L17" i="39" s="1"/>
  <c r="K15" i="39"/>
  <c r="J15" i="39"/>
  <c r="C2" i="39"/>
  <c r="B2" i="39"/>
  <c r="A2" i="39"/>
  <c r="C25" i="38"/>
  <c r="L23" i="38"/>
  <c r="C23" i="38"/>
  <c r="L21" i="38"/>
  <c r="C21" i="38"/>
  <c r="C17" i="38"/>
  <c r="L15" i="38"/>
  <c r="C15" i="38"/>
  <c r="L13" i="38"/>
  <c r="N13" i="38" s="1"/>
  <c r="C13" i="38"/>
  <c r="C5" i="38"/>
  <c r="G2" i="38"/>
  <c r="M57" i="37"/>
  <c r="M56" i="37"/>
  <c r="M55" i="37"/>
  <c r="M54" i="37"/>
  <c r="N52" i="37"/>
  <c r="O51" i="37" s="1"/>
  <c r="M52" i="37"/>
  <c r="M51" i="37"/>
  <c r="M50" i="37"/>
  <c r="M49" i="37"/>
  <c r="M44" i="37"/>
  <c r="M43" i="37"/>
  <c r="M42" i="37"/>
  <c r="M41" i="37"/>
  <c r="M40" i="37"/>
  <c r="M39" i="37"/>
  <c r="M38" i="37"/>
  <c r="A38" i="37"/>
  <c r="A39" i="37" s="1"/>
  <c r="A40" i="37" s="1"/>
  <c r="A41" i="37" s="1"/>
  <c r="A42" i="37" s="1"/>
  <c r="A43" i="37" s="1"/>
  <c r="A44" i="37" s="1"/>
  <c r="A49" i="37" s="1"/>
  <c r="A50" i="37" s="1"/>
  <c r="A51" i="37" s="1"/>
  <c r="A52" i="37" s="1"/>
  <c r="A54" i="37" s="1"/>
  <c r="A55" i="37" s="1"/>
  <c r="A56" i="37" s="1"/>
  <c r="A57" i="37" s="1"/>
  <c r="M37" i="37"/>
  <c r="M36" i="37"/>
  <c r="M35" i="37"/>
  <c r="M34" i="37"/>
  <c r="M33" i="37"/>
  <c r="M32" i="37"/>
  <c r="M31" i="37"/>
  <c r="M30" i="37"/>
  <c r="M29" i="37"/>
  <c r="M28" i="37"/>
  <c r="M27" i="37"/>
  <c r="M26" i="37"/>
  <c r="M25" i="37"/>
  <c r="A25" i="37"/>
  <c r="A26" i="37" s="1"/>
  <c r="A27" i="37" s="1"/>
  <c r="A28" i="37" s="1"/>
  <c r="A29" i="37" s="1"/>
  <c r="A30" i="37" s="1"/>
  <c r="A31" i="37" s="1"/>
  <c r="A32" i="37" s="1"/>
  <c r="A33" i="37" s="1"/>
  <c r="A34" i="37" s="1"/>
  <c r="A35" i="37" s="1"/>
  <c r="A36" i="37" s="1"/>
  <c r="A37" i="37" s="1"/>
  <c r="M24" i="37"/>
  <c r="A24" i="37"/>
  <c r="M23" i="37"/>
  <c r="C23" i="37"/>
  <c r="C24" i="37" s="1"/>
  <c r="C25" i="37" s="1"/>
  <c r="C26" i="37" s="1"/>
  <c r="C27" i="37" s="1"/>
  <c r="C28" i="37" s="1"/>
  <c r="C29" i="37" s="1"/>
  <c r="C30" i="37" s="1"/>
  <c r="C31" i="37" s="1"/>
  <c r="C32" i="37" s="1"/>
  <c r="C33" i="37" s="1"/>
  <c r="C34" i="37" s="1"/>
  <c r="C35" i="37" s="1"/>
  <c r="C36" i="37" s="1"/>
  <c r="C37" i="37" s="1"/>
  <c r="C38" i="37" s="1"/>
  <c r="C39" i="37" s="1"/>
  <c r="C40" i="37" s="1"/>
  <c r="C41" i="37" s="1"/>
  <c r="C42" i="37" s="1"/>
  <c r="C43" i="37" s="1"/>
  <c r="C44" i="37" s="1"/>
  <c r="C49" i="37" s="1"/>
  <c r="C50" i="37" s="1"/>
  <c r="C51" i="37" s="1"/>
  <c r="C52" i="37" s="1"/>
  <c r="C54" i="37" s="1"/>
  <c r="C55" i="37" s="1"/>
  <c r="C56" i="37" s="1"/>
  <c r="C57" i="37" s="1"/>
  <c r="B23" i="37"/>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9" i="37" s="1"/>
  <c r="B50" i="37" s="1"/>
  <c r="B51" i="37" s="1"/>
  <c r="B52" i="37" s="1"/>
  <c r="B54" i="37" s="1"/>
  <c r="B55" i="37" s="1"/>
  <c r="B56" i="37" s="1"/>
  <c r="B57" i="37" s="1"/>
  <c r="E21" i="37"/>
  <c r="E20" i="37"/>
  <c r="D20" i="37"/>
  <c r="I13" i="37"/>
  <c r="I12" i="37"/>
  <c r="D21" i="37" s="1"/>
  <c r="I10" i="37"/>
  <c r="F10" i="37"/>
  <c r="I7" i="37"/>
  <c r="K7" i="37" s="1"/>
  <c r="J4" i="37"/>
  <c r="C4" i="37"/>
  <c r="J3" i="37"/>
  <c r="N57" i="36"/>
  <c r="M57" i="36"/>
  <c r="O57" i="36" s="1"/>
  <c r="M56" i="36"/>
  <c r="M55" i="36"/>
  <c r="M54" i="36"/>
  <c r="N52" i="36"/>
  <c r="M52" i="36"/>
  <c r="M51" i="36"/>
  <c r="O51" i="36" s="1"/>
  <c r="C51" i="36"/>
  <c r="C52" i="36" s="1"/>
  <c r="C54" i="36" s="1"/>
  <c r="C55" i="36" s="1"/>
  <c r="C56" i="36" s="1"/>
  <c r="C57" i="36" s="1"/>
  <c r="M50" i="36"/>
  <c r="M49" i="36"/>
  <c r="N44" i="36"/>
  <c r="O43" i="36" s="1"/>
  <c r="M44" i="36"/>
  <c r="M43" i="36"/>
  <c r="M42" i="36"/>
  <c r="M41" i="36"/>
  <c r="M40" i="36"/>
  <c r="M39" i="36"/>
  <c r="M38" i="36"/>
  <c r="M37" i="36"/>
  <c r="N36" i="36"/>
  <c r="O35" i="36" s="1"/>
  <c r="M36" i="36"/>
  <c r="M35" i="36"/>
  <c r="M34" i="36"/>
  <c r="M33" i="36"/>
  <c r="N32" i="36"/>
  <c r="M32" i="36"/>
  <c r="M31" i="36"/>
  <c r="M30" i="36"/>
  <c r="M29" i="36"/>
  <c r="M28" i="36"/>
  <c r="M27" i="36"/>
  <c r="M26" i="36"/>
  <c r="M25" i="36"/>
  <c r="M24" i="36"/>
  <c r="A24" i="36"/>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9" i="36" s="1"/>
  <c r="A50" i="36" s="1"/>
  <c r="A51" i="36" s="1"/>
  <c r="A52" i="36" s="1"/>
  <c r="A54" i="36" s="1"/>
  <c r="A55" i="36" s="1"/>
  <c r="A56" i="36" s="1"/>
  <c r="A57" i="36" s="1"/>
  <c r="M23" i="36"/>
  <c r="C23" i="36"/>
  <c r="C24" i="36" s="1"/>
  <c r="C25" i="36" s="1"/>
  <c r="C26" i="36" s="1"/>
  <c r="C27" i="36" s="1"/>
  <c r="C28" i="36" s="1"/>
  <c r="C29" i="36" s="1"/>
  <c r="C30" i="36" s="1"/>
  <c r="C31" i="36" s="1"/>
  <c r="C32" i="36" s="1"/>
  <c r="C33" i="36" s="1"/>
  <c r="C34" i="36" s="1"/>
  <c r="C35" i="36" s="1"/>
  <c r="C36" i="36" s="1"/>
  <c r="C37" i="36" s="1"/>
  <c r="C38" i="36" s="1"/>
  <c r="C39" i="36" s="1"/>
  <c r="C40" i="36" s="1"/>
  <c r="C41" i="36" s="1"/>
  <c r="C42" i="36" s="1"/>
  <c r="C43" i="36" s="1"/>
  <c r="C44" i="36" s="1"/>
  <c r="C49" i="36" s="1"/>
  <c r="C50" i="36" s="1"/>
  <c r="B23" i="36"/>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9" i="36" s="1"/>
  <c r="B50" i="36" s="1"/>
  <c r="B51" i="36" s="1"/>
  <c r="B52" i="36" s="1"/>
  <c r="B54" i="36" s="1"/>
  <c r="B55" i="36" s="1"/>
  <c r="B56" i="36" s="1"/>
  <c r="B57" i="36" s="1"/>
  <c r="E20" i="36"/>
  <c r="D20" i="36"/>
  <c r="I13" i="36"/>
  <c r="E21" i="36" s="1"/>
  <c r="I12" i="36"/>
  <c r="D21" i="36" s="1"/>
  <c r="I10" i="36"/>
  <c r="N40" i="36" s="1"/>
  <c r="O39" i="36" s="1"/>
  <c r="F10" i="36"/>
  <c r="I7" i="36"/>
  <c r="K7" i="36" s="1"/>
  <c r="J4" i="36"/>
  <c r="C4" i="36"/>
  <c r="J3" i="36"/>
  <c r="G25" i="35"/>
  <c r="C25" i="35"/>
  <c r="L23" i="35"/>
  <c r="N23" i="35" s="1"/>
  <c r="C23" i="35"/>
  <c r="G23" i="35" s="1"/>
  <c r="L21" i="35"/>
  <c r="N21" i="35" s="1"/>
  <c r="G21" i="35"/>
  <c r="C21" i="35"/>
  <c r="C15" i="35"/>
  <c r="G15" i="35" s="1"/>
  <c r="C5" i="35"/>
  <c r="G5" i="35" s="1"/>
  <c r="G2" i="35"/>
  <c r="L17" i="34"/>
  <c r="L16" i="34"/>
  <c r="K16" i="34"/>
  <c r="L15" i="34"/>
  <c r="K15" i="34"/>
  <c r="K17" i="34" s="1"/>
  <c r="J15" i="34"/>
  <c r="B2" i="34"/>
  <c r="A2" i="34"/>
  <c r="O53" i="33"/>
  <c r="O50" i="33"/>
  <c r="M50" i="33"/>
  <c r="M49" i="33"/>
  <c r="M48" i="33"/>
  <c r="O41" i="33"/>
  <c r="M31" i="33"/>
  <c r="M30" i="33"/>
  <c r="O18" i="33"/>
  <c r="M17" i="33"/>
  <c r="G1" i="33"/>
  <c r="M57" i="32"/>
  <c r="M56" i="32"/>
  <c r="M55" i="32"/>
  <c r="M54" i="32"/>
  <c r="M52" i="32"/>
  <c r="M51" i="32"/>
  <c r="M50" i="32"/>
  <c r="M49" i="32"/>
  <c r="L15" i="35" s="1"/>
  <c r="N15" i="35" s="1"/>
  <c r="M44" i="32"/>
  <c r="M43" i="32"/>
  <c r="M42" i="32"/>
  <c r="M41" i="32"/>
  <c r="M40" i="32"/>
  <c r="M39" i="32"/>
  <c r="M38" i="32"/>
  <c r="M37" i="32"/>
  <c r="M36" i="32"/>
  <c r="M35" i="32"/>
  <c r="M34" i="32"/>
  <c r="M33" i="32"/>
  <c r="M32" i="32"/>
  <c r="M31" i="32"/>
  <c r="M30" i="32"/>
  <c r="M29" i="32"/>
  <c r="M28" i="32"/>
  <c r="C17" i="35" s="1"/>
  <c r="G17" i="35" s="1"/>
  <c r="B28" i="32"/>
  <c r="B29" i="32" s="1"/>
  <c r="B30" i="32" s="1"/>
  <c r="B31" i="32" s="1"/>
  <c r="B32" i="32" s="1"/>
  <c r="B33" i="32" s="1"/>
  <c r="B34" i="32" s="1"/>
  <c r="B35" i="32" s="1"/>
  <c r="B36" i="32" s="1"/>
  <c r="B37" i="32" s="1"/>
  <c r="B38" i="32" s="1"/>
  <c r="B39" i="32" s="1"/>
  <c r="B40" i="32" s="1"/>
  <c r="B41" i="32" s="1"/>
  <c r="B42" i="32" s="1"/>
  <c r="B43" i="32" s="1"/>
  <c r="B44" i="32" s="1"/>
  <c r="B49" i="32" s="1"/>
  <c r="B50" i="32" s="1"/>
  <c r="B51" i="32" s="1"/>
  <c r="B52" i="32" s="1"/>
  <c r="B54" i="32" s="1"/>
  <c r="B55" i="32" s="1"/>
  <c r="B56" i="32" s="1"/>
  <c r="B57" i="32" s="1"/>
  <c r="M27" i="32"/>
  <c r="M26" i="32"/>
  <c r="C13" i="35" s="1"/>
  <c r="G13" i="35" s="1"/>
  <c r="M25" i="32"/>
  <c r="M24" i="32"/>
  <c r="C24" i="32"/>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9" i="32" s="1"/>
  <c r="C50" i="32" s="1"/>
  <c r="C51" i="32" s="1"/>
  <c r="C52" i="32" s="1"/>
  <c r="C54" i="32" s="1"/>
  <c r="C55" i="32" s="1"/>
  <c r="C56" i="32" s="1"/>
  <c r="C57" i="32" s="1"/>
  <c r="B24" i="32"/>
  <c r="B25" i="32" s="1"/>
  <c r="B26" i="32" s="1"/>
  <c r="B27" i="32" s="1"/>
  <c r="A24" i="32"/>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9" i="32" s="1"/>
  <c r="A50" i="32" s="1"/>
  <c r="A51" i="32" s="1"/>
  <c r="A52" i="32" s="1"/>
  <c r="A54" i="32" s="1"/>
  <c r="A55" i="32" s="1"/>
  <c r="A56" i="32" s="1"/>
  <c r="A57" i="32" s="1"/>
  <c r="M23" i="32"/>
  <c r="C23" i="32"/>
  <c r="B23" i="32"/>
  <c r="E21" i="32"/>
  <c r="D21" i="32"/>
  <c r="E20" i="32"/>
  <c r="D20" i="32"/>
  <c r="I13" i="32"/>
  <c r="I12" i="32"/>
  <c r="F10" i="32"/>
  <c r="I10" i="32" s="1"/>
  <c r="K7" i="32"/>
  <c r="I7" i="32"/>
  <c r="J4" i="32"/>
  <c r="C4" i="32"/>
  <c r="J3" i="32"/>
  <c r="L2" i="31"/>
  <c r="N2" i="31" s="1"/>
  <c r="G9" i="31" s="1"/>
  <c r="I2" i="31"/>
  <c r="D55" i="28"/>
  <c r="D54" i="28"/>
  <c r="D53" i="28"/>
  <c r="D52" i="28"/>
  <c r="D51" i="28"/>
  <c r="C41" i="28"/>
  <c r="J41" i="28" s="1"/>
  <c r="I30" i="28"/>
  <c r="C35" i="28" s="1"/>
  <c r="J35" i="28" s="1"/>
  <c r="B21" i="27"/>
  <c r="D2" i="27"/>
  <c r="O57" i="26"/>
  <c r="M57" i="26"/>
  <c r="M56" i="26"/>
  <c r="O56" i="26" s="1"/>
  <c r="O55" i="26"/>
  <c r="M55" i="26"/>
  <c r="O54" i="26"/>
  <c r="M54" i="26"/>
  <c r="O52" i="26"/>
  <c r="M52" i="26"/>
  <c r="M51" i="26"/>
  <c r="O51" i="26" s="1"/>
  <c r="M50" i="26"/>
  <c r="O50" i="26" s="1"/>
  <c r="O49" i="26"/>
  <c r="M49" i="26"/>
  <c r="N44" i="26"/>
  <c r="N43" i="26"/>
  <c r="N42" i="26"/>
  <c r="N41" i="26"/>
  <c r="N40" i="26"/>
  <c r="N39" i="26"/>
  <c r="C39" i="26"/>
  <c r="C40" i="26" s="1"/>
  <c r="C41" i="26" s="1"/>
  <c r="C42" i="26" s="1"/>
  <c r="C43" i="26" s="1"/>
  <c r="C44" i="26" s="1"/>
  <c r="C49" i="26" s="1"/>
  <c r="C50" i="26" s="1"/>
  <c r="C51" i="26" s="1"/>
  <c r="C52" i="26" s="1"/>
  <c r="C54" i="26" s="1"/>
  <c r="C55" i="26" s="1"/>
  <c r="C56" i="26" s="1"/>
  <c r="C57" i="26" s="1"/>
  <c r="N38" i="26"/>
  <c r="N37" i="26"/>
  <c r="N36" i="26"/>
  <c r="N35" i="26"/>
  <c r="N34" i="26"/>
  <c r="N33" i="26"/>
  <c r="N32" i="26"/>
  <c r="N31" i="26"/>
  <c r="C31" i="26"/>
  <c r="C32" i="26" s="1"/>
  <c r="C33" i="26" s="1"/>
  <c r="C34" i="26" s="1"/>
  <c r="C35" i="26" s="1"/>
  <c r="C36" i="26" s="1"/>
  <c r="C37" i="26" s="1"/>
  <c r="C38" i="26" s="1"/>
  <c r="N30" i="26"/>
  <c r="N29" i="26"/>
  <c r="N28" i="26"/>
  <c r="O27" i="26"/>
  <c r="N27" i="26"/>
  <c r="D27" i="26"/>
  <c r="M27" i="26" s="1"/>
  <c r="O26" i="26"/>
  <c r="N26" i="26"/>
  <c r="M26" i="26"/>
  <c r="D26" i="26"/>
  <c r="N25" i="26"/>
  <c r="O24" i="26" s="1"/>
  <c r="M25" i="26"/>
  <c r="N24" i="26"/>
  <c r="M24" i="26"/>
  <c r="C24" i="26"/>
  <c r="C25" i="26" s="1"/>
  <c r="C26" i="26" s="1"/>
  <c r="C27" i="26" s="1"/>
  <c r="C28" i="26" s="1"/>
  <c r="C29" i="26" s="1"/>
  <c r="C30" i="26" s="1"/>
  <c r="B24" i="26"/>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9" i="26" s="1"/>
  <c r="B50" i="26" s="1"/>
  <c r="B51" i="26" s="1"/>
  <c r="B52" i="26" s="1"/>
  <c r="B54" i="26" s="1"/>
  <c r="B55" i="26" s="1"/>
  <c r="B56" i="26" s="1"/>
  <c r="B57" i="26" s="1"/>
  <c r="A24" i="26"/>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9" i="26" s="1"/>
  <c r="A50" i="26" s="1"/>
  <c r="A51" i="26" s="1"/>
  <c r="A52" i="26" s="1"/>
  <c r="A54" i="26" s="1"/>
  <c r="A55" i="26" s="1"/>
  <c r="A56" i="26" s="1"/>
  <c r="A57" i="26" s="1"/>
  <c r="N23" i="26"/>
  <c r="M23" i="26"/>
  <c r="O23" i="26" s="1"/>
  <c r="D20" i="26"/>
  <c r="I13" i="26"/>
  <c r="I12" i="26"/>
  <c r="D21" i="26" s="1"/>
  <c r="G10" i="26"/>
  <c r="K7" i="26"/>
  <c r="I7" i="26"/>
  <c r="G7" i="26"/>
  <c r="J4" i="26"/>
  <c r="C4" i="26"/>
  <c r="J3" i="26"/>
  <c r="O57" i="25"/>
  <c r="M57" i="25"/>
  <c r="M56" i="25"/>
  <c r="O56" i="25" s="1"/>
  <c r="O55" i="25"/>
  <c r="M55" i="25"/>
  <c r="O54" i="25"/>
  <c r="M54" i="25"/>
  <c r="O52" i="25"/>
  <c r="M52" i="25"/>
  <c r="M51" i="25"/>
  <c r="O51" i="25" s="1"/>
  <c r="M50" i="25"/>
  <c r="O50" i="25" s="1"/>
  <c r="O49" i="25"/>
  <c r="M49" i="25"/>
  <c r="N44" i="25"/>
  <c r="N43" i="25"/>
  <c r="N42" i="25"/>
  <c r="N41" i="25"/>
  <c r="N40" i="25"/>
  <c r="N39" i="25"/>
  <c r="N38" i="25"/>
  <c r="N37" i="25"/>
  <c r="N36" i="25"/>
  <c r="N35" i="25"/>
  <c r="N34" i="25"/>
  <c r="N33" i="25"/>
  <c r="N32" i="25"/>
  <c r="N31" i="25"/>
  <c r="C31" i="25"/>
  <c r="C32" i="25" s="1"/>
  <c r="C33" i="25" s="1"/>
  <c r="C34" i="25" s="1"/>
  <c r="C35" i="25" s="1"/>
  <c r="C36" i="25" s="1"/>
  <c r="C37" i="25" s="1"/>
  <c r="C38" i="25" s="1"/>
  <c r="C39" i="25" s="1"/>
  <c r="C40" i="25" s="1"/>
  <c r="C41" i="25" s="1"/>
  <c r="C42" i="25" s="1"/>
  <c r="C43" i="25" s="1"/>
  <c r="C44" i="25" s="1"/>
  <c r="C49" i="25" s="1"/>
  <c r="C50" i="25" s="1"/>
  <c r="C51" i="25" s="1"/>
  <c r="C52" i="25" s="1"/>
  <c r="C54" i="25" s="1"/>
  <c r="C55" i="25" s="1"/>
  <c r="C56" i="25" s="1"/>
  <c r="C57" i="25" s="1"/>
  <c r="N30" i="25"/>
  <c r="N29" i="25"/>
  <c r="A29" i="25"/>
  <c r="A30" i="25" s="1"/>
  <c r="A31" i="25" s="1"/>
  <c r="A32" i="25" s="1"/>
  <c r="A33" i="25" s="1"/>
  <c r="A34" i="25" s="1"/>
  <c r="A35" i="25" s="1"/>
  <c r="A36" i="25" s="1"/>
  <c r="A37" i="25" s="1"/>
  <c r="A38" i="25" s="1"/>
  <c r="A39" i="25" s="1"/>
  <c r="A40" i="25" s="1"/>
  <c r="A41" i="25" s="1"/>
  <c r="A42" i="25" s="1"/>
  <c r="A43" i="25" s="1"/>
  <c r="A44" i="25" s="1"/>
  <c r="A49" i="25" s="1"/>
  <c r="A50" i="25" s="1"/>
  <c r="A51" i="25" s="1"/>
  <c r="A52" i="25" s="1"/>
  <c r="A54" i="25" s="1"/>
  <c r="A55" i="25" s="1"/>
  <c r="A56" i="25" s="1"/>
  <c r="A57" i="25" s="1"/>
  <c r="N28" i="25"/>
  <c r="N27" i="25"/>
  <c r="D27" i="25"/>
  <c r="M27" i="25" s="1"/>
  <c r="O27" i="25" s="1"/>
  <c r="O26" i="25"/>
  <c r="N26" i="25"/>
  <c r="M26" i="25"/>
  <c r="D26" i="25"/>
  <c r="N25" i="25"/>
  <c r="O24" i="25" s="1"/>
  <c r="M25" i="25"/>
  <c r="N24" i="25"/>
  <c r="M24" i="25"/>
  <c r="C24" i="25"/>
  <c r="C25" i="25" s="1"/>
  <c r="C26" i="25" s="1"/>
  <c r="C27" i="25" s="1"/>
  <c r="C28" i="25" s="1"/>
  <c r="C29" i="25" s="1"/>
  <c r="C30" i="25" s="1"/>
  <c r="B24" i="25"/>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9" i="25" s="1"/>
  <c r="B50" i="25" s="1"/>
  <c r="B51" i="25" s="1"/>
  <c r="B52" i="25" s="1"/>
  <c r="B54" i="25" s="1"/>
  <c r="B55" i="25" s="1"/>
  <c r="B56" i="25" s="1"/>
  <c r="B57" i="25" s="1"/>
  <c r="A24" i="25"/>
  <c r="A25" i="25" s="1"/>
  <c r="A26" i="25" s="1"/>
  <c r="A27" i="25" s="1"/>
  <c r="A28" i="25" s="1"/>
  <c r="N23" i="25"/>
  <c r="M23" i="25"/>
  <c r="O23" i="25" s="1"/>
  <c r="D20" i="25"/>
  <c r="I13" i="25"/>
  <c r="I12" i="25"/>
  <c r="D21" i="25" s="1"/>
  <c r="G10" i="25"/>
  <c r="K7" i="25"/>
  <c r="I7" i="25"/>
  <c r="G7" i="25"/>
  <c r="J4" i="25"/>
  <c r="C4" i="25"/>
  <c r="J3" i="25"/>
  <c r="O57" i="24"/>
  <c r="M57" i="24"/>
  <c r="M56" i="24"/>
  <c r="O56" i="24" s="1"/>
  <c r="O55" i="24"/>
  <c r="M55" i="24"/>
  <c r="O54" i="24"/>
  <c r="M54" i="24"/>
  <c r="O52" i="24"/>
  <c r="M52" i="24"/>
  <c r="M51" i="24"/>
  <c r="O51" i="24" s="1"/>
  <c r="M50" i="24"/>
  <c r="O50" i="24" s="1"/>
  <c r="O49" i="24"/>
  <c r="M49" i="24"/>
  <c r="N44" i="24"/>
  <c r="N43" i="24"/>
  <c r="N42" i="24"/>
  <c r="N41" i="24"/>
  <c r="N40" i="24"/>
  <c r="N39" i="24"/>
  <c r="N38" i="24"/>
  <c r="N37" i="24"/>
  <c r="N36" i="24"/>
  <c r="N35" i="24"/>
  <c r="N34" i="24"/>
  <c r="N33" i="24"/>
  <c r="N32" i="24"/>
  <c r="N31" i="24"/>
  <c r="C31" i="24"/>
  <c r="C32" i="24" s="1"/>
  <c r="C33" i="24" s="1"/>
  <c r="C34" i="24" s="1"/>
  <c r="C35" i="24" s="1"/>
  <c r="C36" i="24" s="1"/>
  <c r="C37" i="24" s="1"/>
  <c r="C38" i="24" s="1"/>
  <c r="C39" i="24" s="1"/>
  <c r="C40" i="24" s="1"/>
  <c r="C41" i="24" s="1"/>
  <c r="C42" i="24" s="1"/>
  <c r="C43" i="24" s="1"/>
  <c r="C44" i="24" s="1"/>
  <c r="C49" i="24" s="1"/>
  <c r="C50" i="24" s="1"/>
  <c r="C51" i="24" s="1"/>
  <c r="C52" i="24" s="1"/>
  <c r="C54" i="24" s="1"/>
  <c r="C55" i="24" s="1"/>
  <c r="C56" i="24" s="1"/>
  <c r="C57" i="24" s="1"/>
  <c r="N30" i="24"/>
  <c r="N29" i="24"/>
  <c r="A29" i="24"/>
  <c r="A30" i="24" s="1"/>
  <c r="A31" i="24" s="1"/>
  <c r="A32" i="24" s="1"/>
  <c r="A33" i="24" s="1"/>
  <c r="A34" i="24" s="1"/>
  <c r="A35" i="24" s="1"/>
  <c r="A36" i="24" s="1"/>
  <c r="A37" i="24" s="1"/>
  <c r="A38" i="24" s="1"/>
  <c r="A39" i="24" s="1"/>
  <c r="A40" i="24" s="1"/>
  <c r="A41" i="24" s="1"/>
  <c r="A42" i="24" s="1"/>
  <c r="A43" i="24" s="1"/>
  <c r="A44" i="24" s="1"/>
  <c r="A49" i="24" s="1"/>
  <c r="A50" i="24" s="1"/>
  <c r="A51" i="24" s="1"/>
  <c r="A52" i="24" s="1"/>
  <c r="A54" i="24" s="1"/>
  <c r="A55" i="24" s="1"/>
  <c r="A56" i="24" s="1"/>
  <c r="A57" i="24" s="1"/>
  <c r="N28" i="24"/>
  <c r="O27" i="24"/>
  <c r="N27" i="24"/>
  <c r="D27" i="24"/>
  <c r="M27" i="24" s="1"/>
  <c r="O26" i="24"/>
  <c r="N26" i="24"/>
  <c r="M26" i="24"/>
  <c r="D26" i="24"/>
  <c r="N25" i="24"/>
  <c r="O24" i="24" s="1"/>
  <c r="M25" i="24"/>
  <c r="O25" i="24" s="1"/>
  <c r="N24" i="24"/>
  <c r="M24" i="24"/>
  <c r="C24" i="24"/>
  <c r="C25" i="24" s="1"/>
  <c r="C26" i="24" s="1"/>
  <c r="C27" i="24" s="1"/>
  <c r="C28" i="24" s="1"/>
  <c r="C29" i="24" s="1"/>
  <c r="C30" i="24" s="1"/>
  <c r="B24" i="24"/>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9" i="24" s="1"/>
  <c r="B50" i="24" s="1"/>
  <c r="B51" i="24" s="1"/>
  <c r="B52" i="24" s="1"/>
  <c r="B54" i="24" s="1"/>
  <c r="B55" i="24" s="1"/>
  <c r="B56" i="24" s="1"/>
  <c r="B57" i="24" s="1"/>
  <c r="A24" i="24"/>
  <c r="A25" i="24" s="1"/>
  <c r="A26" i="24" s="1"/>
  <c r="A27" i="24" s="1"/>
  <c r="A28" i="24" s="1"/>
  <c r="N23" i="24"/>
  <c r="M23" i="24"/>
  <c r="O23" i="24" s="1"/>
  <c r="D20" i="24"/>
  <c r="I13" i="24"/>
  <c r="I12" i="24"/>
  <c r="D21" i="24" s="1"/>
  <c r="G10" i="24"/>
  <c r="K7" i="24"/>
  <c r="I7" i="24"/>
  <c r="G7" i="24"/>
  <c r="J4" i="24"/>
  <c r="C4" i="24"/>
  <c r="J3" i="24"/>
  <c r="O57" i="23"/>
  <c r="M57" i="23"/>
  <c r="M56" i="23"/>
  <c r="O56" i="23" s="1"/>
  <c r="O55" i="23"/>
  <c r="M55" i="23"/>
  <c r="O54" i="23"/>
  <c r="M54" i="23"/>
  <c r="L7" i="41" s="1"/>
  <c r="N7" i="41" s="1"/>
  <c r="O52" i="23"/>
  <c r="M52" i="23"/>
  <c r="M51" i="23"/>
  <c r="O51" i="23" s="1"/>
  <c r="M50" i="23"/>
  <c r="O50" i="23" s="1"/>
  <c r="O49" i="23"/>
  <c r="M49" i="23"/>
  <c r="N44" i="23"/>
  <c r="N43" i="23"/>
  <c r="N42" i="23"/>
  <c r="N41" i="23"/>
  <c r="N40" i="23"/>
  <c r="N39" i="23"/>
  <c r="N38" i="23"/>
  <c r="N37" i="23"/>
  <c r="N36" i="23"/>
  <c r="N35" i="23"/>
  <c r="N34" i="23"/>
  <c r="N33" i="23"/>
  <c r="N32" i="23"/>
  <c r="N31" i="23"/>
  <c r="N30" i="23"/>
  <c r="N29" i="23"/>
  <c r="N28" i="23"/>
  <c r="O27" i="23"/>
  <c r="N27" i="23"/>
  <c r="D27" i="23"/>
  <c r="M27" i="23" s="1"/>
  <c r="O26" i="23"/>
  <c r="G5" i="12" s="1"/>
  <c r="N26" i="23"/>
  <c r="M26" i="23"/>
  <c r="D26" i="23"/>
  <c r="N25" i="23"/>
  <c r="O24" i="23" s="1"/>
  <c r="M25" i="23"/>
  <c r="N24" i="23"/>
  <c r="M24" i="23"/>
  <c r="C24" i="23"/>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9" i="23" s="1"/>
  <c r="C50" i="23" s="1"/>
  <c r="C51" i="23" s="1"/>
  <c r="C52" i="23" s="1"/>
  <c r="C54" i="23" s="1"/>
  <c r="C55" i="23" s="1"/>
  <c r="C56" i="23" s="1"/>
  <c r="C57" i="23" s="1"/>
  <c r="B24" i="23"/>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9" i="23" s="1"/>
  <c r="B50" i="23" s="1"/>
  <c r="B51" i="23" s="1"/>
  <c r="B52" i="23" s="1"/>
  <c r="B54" i="23" s="1"/>
  <c r="B55" i="23" s="1"/>
  <c r="B56" i="23" s="1"/>
  <c r="B57" i="23" s="1"/>
  <c r="A24" i="23"/>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9" i="23" s="1"/>
  <c r="A50" i="23" s="1"/>
  <c r="A51" i="23" s="1"/>
  <c r="A52" i="23" s="1"/>
  <c r="A54" i="23" s="1"/>
  <c r="A55" i="23" s="1"/>
  <c r="A56" i="23" s="1"/>
  <c r="A57" i="23" s="1"/>
  <c r="N23" i="23"/>
  <c r="M23" i="23"/>
  <c r="O23" i="23" s="1"/>
  <c r="D20" i="23"/>
  <c r="I13" i="23"/>
  <c r="I12" i="23"/>
  <c r="D21" i="23" s="1"/>
  <c r="G10" i="23"/>
  <c r="K7" i="23"/>
  <c r="I7" i="23"/>
  <c r="G7" i="23"/>
  <c r="J4" i="23"/>
  <c r="C4" i="23"/>
  <c r="J3" i="23"/>
  <c r="L16" i="22"/>
  <c r="K16" i="22"/>
  <c r="L15" i="22"/>
  <c r="L17" i="22" s="1"/>
  <c r="K15" i="22"/>
  <c r="K17" i="22" s="1"/>
  <c r="J3" i="22"/>
  <c r="J15" i="22" s="1"/>
  <c r="O56" i="21"/>
  <c r="M56" i="21"/>
  <c r="M55" i="21"/>
  <c r="O55" i="21" s="1"/>
  <c r="M54" i="21"/>
  <c r="O54" i="21" s="1"/>
  <c r="O53" i="21"/>
  <c r="M53" i="21"/>
  <c r="O51" i="21"/>
  <c r="M51" i="21"/>
  <c r="M50" i="21"/>
  <c r="O50" i="21" s="1"/>
  <c r="O49" i="21"/>
  <c r="M49" i="21"/>
  <c r="A49" i="21"/>
  <c r="A50" i="21" s="1"/>
  <c r="A51" i="21" s="1"/>
  <c r="A53" i="21" s="1"/>
  <c r="A54" i="21" s="1"/>
  <c r="A55" i="21" s="1"/>
  <c r="A56" i="21" s="1"/>
  <c r="O48" i="21"/>
  <c r="M48" i="21"/>
  <c r="C48" i="21"/>
  <c r="C49" i="21" s="1"/>
  <c r="C50" i="21" s="1"/>
  <c r="C51" i="21" s="1"/>
  <c r="C53" i="21" s="1"/>
  <c r="C54" i="21" s="1"/>
  <c r="C55" i="21" s="1"/>
  <c r="C56" i="21" s="1"/>
  <c r="B48" i="21"/>
  <c r="B49" i="21" s="1"/>
  <c r="B50" i="21" s="1"/>
  <c r="B51" i="21" s="1"/>
  <c r="B53" i="21" s="1"/>
  <c r="B54" i="21" s="1"/>
  <c r="B55" i="21" s="1"/>
  <c r="B56" i="21" s="1"/>
  <c r="A48" i="21"/>
  <c r="N43" i="21"/>
  <c r="M43" i="21"/>
  <c r="N42" i="21"/>
  <c r="M42" i="21"/>
  <c r="N41" i="21"/>
  <c r="M41" i="21"/>
  <c r="N40" i="21"/>
  <c r="M40" i="21"/>
  <c r="N39" i="21"/>
  <c r="M39" i="21"/>
  <c r="N38" i="21"/>
  <c r="M38" i="21"/>
  <c r="N37" i="21"/>
  <c r="M37" i="21"/>
  <c r="O37" i="21" s="1"/>
  <c r="N36" i="21"/>
  <c r="M36" i="21"/>
  <c r="O36" i="21" s="1"/>
  <c r="N35" i="21"/>
  <c r="M35" i="21"/>
  <c r="N34" i="21"/>
  <c r="M34" i="21"/>
  <c r="O34" i="21" s="1"/>
  <c r="N33" i="21"/>
  <c r="M33" i="21"/>
  <c r="N32" i="21"/>
  <c r="M32" i="21"/>
  <c r="N31" i="21"/>
  <c r="M31" i="21"/>
  <c r="N30" i="21"/>
  <c r="M30" i="21"/>
  <c r="O30" i="21" s="1"/>
  <c r="N29" i="21"/>
  <c r="M29" i="21"/>
  <c r="O29" i="21" s="1"/>
  <c r="N28" i="21"/>
  <c r="M28" i="21"/>
  <c r="N27" i="21"/>
  <c r="M27" i="21"/>
  <c r="O27" i="21" s="1"/>
  <c r="C27" i="21"/>
  <c r="C28" i="21" s="1"/>
  <c r="C29" i="21" s="1"/>
  <c r="C30" i="21" s="1"/>
  <c r="C31" i="21" s="1"/>
  <c r="C32" i="21" s="1"/>
  <c r="C33" i="21" s="1"/>
  <c r="C34" i="21" s="1"/>
  <c r="C35" i="21" s="1"/>
  <c r="C36" i="21" s="1"/>
  <c r="C37" i="21" s="1"/>
  <c r="C38" i="21" s="1"/>
  <c r="C39" i="21" s="1"/>
  <c r="C40" i="21" s="1"/>
  <c r="C41" i="21" s="1"/>
  <c r="C42" i="21" s="1"/>
  <c r="C43" i="21" s="1"/>
  <c r="N26" i="21"/>
  <c r="M26" i="21"/>
  <c r="O26" i="21" s="1"/>
  <c r="C26" i="21"/>
  <c r="N25" i="21"/>
  <c r="M25" i="21"/>
  <c r="O25" i="21" s="1"/>
  <c r="C25" i="21"/>
  <c r="N24" i="21"/>
  <c r="M24" i="21"/>
  <c r="O24" i="21" s="1"/>
  <c r="C24" i="21"/>
  <c r="B24" i="21"/>
  <c r="B25" i="21" s="1"/>
  <c r="B26" i="21" s="1"/>
  <c r="B27" i="21" s="1"/>
  <c r="B28" i="21" s="1"/>
  <c r="B29" i="21" s="1"/>
  <c r="B30" i="21" s="1"/>
  <c r="B31" i="21" s="1"/>
  <c r="B32" i="21" s="1"/>
  <c r="B33" i="21" s="1"/>
  <c r="B34" i="21" s="1"/>
  <c r="B35" i="21" s="1"/>
  <c r="B36" i="21" s="1"/>
  <c r="B37" i="21" s="1"/>
  <c r="B38" i="21" s="1"/>
  <c r="B39" i="21" s="1"/>
  <c r="B40" i="21" s="1"/>
  <c r="B41" i="21" s="1"/>
  <c r="B42" i="21" s="1"/>
  <c r="B43" i="21" s="1"/>
  <c r="A24" i="21"/>
  <c r="A25" i="21" s="1"/>
  <c r="A26" i="21" s="1"/>
  <c r="A27" i="21" s="1"/>
  <c r="A28" i="21" s="1"/>
  <c r="A29" i="21" s="1"/>
  <c r="A30" i="21" s="1"/>
  <c r="A31" i="21" s="1"/>
  <c r="A32" i="21" s="1"/>
  <c r="A33" i="21" s="1"/>
  <c r="A34" i="21" s="1"/>
  <c r="A35" i="21" s="1"/>
  <c r="A36" i="21" s="1"/>
  <c r="A37" i="21" s="1"/>
  <c r="A38" i="21" s="1"/>
  <c r="A39" i="21" s="1"/>
  <c r="A40" i="21" s="1"/>
  <c r="A41" i="21" s="1"/>
  <c r="A42" i="21" s="1"/>
  <c r="A43" i="21" s="1"/>
  <c r="N23" i="21"/>
  <c r="M23" i="21"/>
  <c r="D21" i="21"/>
  <c r="D20" i="21"/>
  <c r="I13" i="21"/>
  <c r="I12" i="21"/>
  <c r="G10" i="21"/>
  <c r="K7" i="21"/>
  <c r="I7" i="21"/>
  <c r="J4" i="21"/>
  <c r="C4" i="21"/>
  <c r="J3" i="21"/>
  <c r="L16" i="20"/>
  <c r="K16" i="20"/>
  <c r="K15" i="20"/>
  <c r="K17" i="20" s="1"/>
  <c r="J15" i="20"/>
  <c r="J3" i="20"/>
  <c r="L15" i="20" s="1"/>
  <c r="L17" i="20" s="1"/>
  <c r="B2" i="20"/>
  <c r="A2" i="20"/>
  <c r="O57" i="19"/>
  <c r="M57" i="19"/>
  <c r="M56" i="19"/>
  <c r="O56" i="19" s="1"/>
  <c r="O55" i="19"/>
  <c r="M55" i="19"/>
  <c r="O54" i="19"/>
  <c r="M54" i="19"/>
  <c r="M52" i="19"/>
  <c r="O52" i="19" s="1"/>
  <c r="M51" i="19"/>
  <c r="O51" i="19" s="1"/>
  <c r="M50" i="19"/>
  <c r="O50" i="19" s="1"/>
  <c r="O49" i="19"/>
  <c r="M49" i="19"/>
  <c r="N44" i="19"/>
  <c r="M44" i="19"/>
  <c r="N43" i="19"/>
  <c r="M43" i="19"/>
  <c r="N42" i="19"/>
  <c r="M42" i="19"/>
  <c r="N41" i="19"/>
  <c r="M41" i="19"/>
  <c r="N40" i="19"/>
  <c r="M40" i="19"/>
  <c r="N39" i="19"/>
  <c r="M39" i="19"/>
  <c r="N38" i="19"/>
  <c r="M38" i="19"/>
  <c r="N37" i="19"/>
  <c r="M37" i="19"/>
  <c r="N36" i="19"/>
  <c r="M36" i="19"/>
  <c r="N35" i="19"/>
  <c r="M35" i="19"/>
  <c r="O35" i="19" s="1"/>
  <c r="N34" i="19"/>
  <c r="M34" i="19"/>
  <c r="N33" i="19"/>
  <c r="M33" i="19"/>
  <c r="N32" i="19"/>
  <c r="M32" i="19"/>
  <c r="N31" i="19"/>
  <c r="M31" i="19"/>
  <c r="O31" i="19" s="1"/>
  <c r="N30" i="19"/>
  <c r="M30" i="19"/>
  <c r="N29" i="19"/>
  <c r="M29" i="19"/>
  <c r="N28" i="19"/>
  <c r="M28" i="19"/>
  <c r="N27" i="19"/>
  <c r="M27" i="19"/>
  <c r="O27" i="19" s="1"/>
  <c r="N26" i="19"/>
  <c r="M26" i="19"/>
  <c r="N25" i="19"/>
  <c r="M25" i="19"/>
  <c r="B25" i="19"/>
  <c r="B26" i="19" s="1"/>
  <c r="B27" i="19" s="1"/>
  <c r="B28" i="19" s="1"/>
  <c r="B29" i="19" s="1"/>
  <c r="B30" i="19" s="1"/>
  <c r="B31" i="19" s="1"/>
  <c r="B32" i="19" s="1"/>
  <c r="B33" i="19" s="1"/>
  <c r="B34" i="19" s="1"/>
  <c r="B35" i="19" s="1"/>
  <c r="B36" i="19" s="1"/>
  <c r="B37" i="19" s="1"/>
  <c r="B38" i="19" s="1"/>
  <c r="B39" i="19" s="1"/>
  <c r="B40" i="19" s="1"/>
  <c r="B41" i="19" s="1"/>
  <c r="B42" i="19" s="1"/>
  <c r="B43" i="19" s="1"/>
  <c r="B44" i="19" s="1"/>
  <c r="B49" i="19" s="1"/>
  <c r="B50" i="19" s="1"/>
  <c r="B51" i="19" s="1"/>
  <c r="B52" i="19" s="1"/>
  <c r="B54" i="19" s="1"/>
  <c r="B55" i="19" s="1"/>
  <c r="B56" i="19" s="1"/>
  <c r="B57" i="19" s="1"/>
  <c r="A25" i="19"/>
  <c r="A26" i="19" s="1"/>
  <c r="A27" i="19" s="1"/>
  <c r="A28" i="19" s="1"/>
  <c r="A29" i="19" s="1"/>
  <c r="A30" i="19" s="1"/>
  <c r="A31" i="19" s="1"/>
  <c r="A32" i="19" s="1"/>
  <c r="A33" i="19" s="1"/>
  <c r="A34" i="19" s="1"/>
  <c r="A35" i="19" s="1"/>
  <c r="A36" i="19" s="1"/>
  <c r="A37" i="19" s="1"/>
  <c r="A38" i="19" s="1"/>
  <c r="A39" i="19" s="1"/>
  <c r="A40" i="19" s="1"/>
  <c r="A41" i="19" s="1"/>
  <c r="A42" i="19" s="1"/>
  <c r="A43" i="19" s="1"/>
  <c r="A44" i="19" s="1"/>
  <c r="A49" i="19" s="1"/>
  <c r="A50" i="19" s="1"/>
  <c r="A51" i="19" s="1"/>
  <c r="A52" i="19" s="1"/>
  <c r="A54" i="19" s="1"/>
  <c r="A55" i="19" s="1"/>
  <c r="A56" i="19" s="1"/>
  <c r="A57" i="19" s="1"/>
  <c r="N24" i="19"/>
  <c r="M24" i="19"/>
  <c r="O24" i="19" s="1"/>
  <c r="C24" i="19"/>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9" i="19" s="1"/>
  <c r="C50" i="19" s="1"/>
  <c r="C51" i="19" s="1"/>
  <c r="C52" i="19" s="1"/>
  <c r="C54" i="19" s="1"/>
  <c r="C55" i="19" s="1"/>
  <c r="C56" i="19" s="1"/>
  <c r="C57" i="19" s="1"/>
  <c r="B24" i="19"/>
  <c r="A24" i="19"/>
  <c r="N23" i="19"/>
  <c r="M23" i="19"/>
  <c r="D20" i="19"/>
  <c r="I13" i="19"/>
  <c r="I12" i="19"/>
  <c r="G10" i="19"/>
  <c r="K7" i="19"/>
  <c r="J4" i="19"/>
  <c r="C4" i="19"/>
  <c r="J3" i="19"/>
  <c r="D29" i="18"/>
  <c r="C29" i="18"/>
  <c r="B29" i="18"/>
  <c r="A29" i="18"/>
  <c r="D28" i="18"/>
  <c r="C28" i="18"/>
  <c r="B28" i="18"/>
  <c r="A28" i="18"/>
  <c r="D27" i="18"/>
  <c r="C27" i="18"/>
  <c r="B27" i="18"/>
  <c r="A27" i="18"/>
  <c r="D26" i="18"/>
  <c r="C26" i="18"/>
  <c r="B26" i="18"/>
  <c r="A26" i="18"/>
  <c r="D25" i="18"/>
  <c r="C25" i="18"/>
  <c r="B25" i="18"/>
  <c r="A25" i="18"/>
  <c r="D24" i="18"/>
  <c r="C24" i="18"/>
  <c r="B24" i="18"/>
  <c r="A24" i="18"/>
  <c r="D23" i="18"/>
  <c r="C23" i="18"/>
  <c r="B23" i="18"/>
  <c r="A23" i="18"/>
  <c r="D22" i="18"/>
  <c r="C22" i="18"/>
  <c r="B22" i="18"/>
  <c r="A22" i="18"/>
  <c r="D21" i="18"/>
  <c r="C21" i="18"/>
  <c r="B21" i="18"/>
  <c r="A21" i="18"/>
  <c r="I18" i="18"/>
  <c r="H18" i="18"/>
  <c r="G18" i="18"/>
  <c r="F18" i="18"/>
  <c r="I17" i="18"/>
  <c r="H17" i="18"/>
  <c r="G17" i="18"/>
  <c r="F17" i="18"/>
  <c r="I16" i="18"/>
  <c r="I20" i="18" s="1"/>
  <c r="H16" i="18"/>
  <c r="G16" i="18"/>
  <c r="F16" i="18"/>
  <c r="D15" i="18"/>
  <c r="C15" i="18"/>
  <c r="B15" i="18"/>
  <c r="A15" i="18"/>
  <c r="D14" i="18"/>
  <c r="C14" i="18"/>
  <c r="B14" i="18"/>
  <c r="A14" i="18"/>
  <c r="D13" i="18"/>
  <c r="C13" i="18"/>
  <c r="B13" i="18"/>
  <c r="A13" i="18"/>
  <c r="D12" i="18"/>
  <c r="C12" i="18"/>
  <c r="B12" i="18"/>
  <c r="A12" i="18"/>
  <c r="D11" i="18"/>
  <c r="C11" i="18"/>
  <c r="B11" i="18"/>
  <c r="A11" i="18"/>
  <c r="H10" i="18"/>
  <c r="G10" i="18"/>
  <c r="D10" i="18"/>
  <c r="C10" i="18"/>
  <c r="B10" i="18"/>
  <c r="A10" i="18"/>
  <c r="H9" i="18"/>
  <c r="H12" i="18" s="1"/>
  <c r="I12" i="18" s="1"/>
  <c r="G9" i="18"/>
  <c r="D9" i="18"/>
  <c r="C9" i="18"/>
  <c r="B9" i="18"/>
  <c r="A9" i="18"/>
  <c r="D8" i="18"/>
  <c r="C8" i="18"/>
  <c r="B8" i="18"/>
  <c r="A8" i="18"/>
  <c r="A4" i="18"/>
  <c r="A3" i="18"/>
  <c r="G6" i="131"/>
  <c r="K7" i="131" s="1"/>
  <c r="C76" i="17"/>
  <c r="C69" i="17"/>
  <c r="D57" i="17"/>
  <c r="A2" i="17"/>
  <c r="F1" i="18" s="1"/>
  <c r="O53" i="13"/>
  <c r="O50" i="13"/>
  <c r="M50" i="13"/>
  <c r="M49" i="13"/>
  <c r="M48" i="13"/>
  <c r="O41" i="13"/>
  <c r="O32" i="13"/>
  <c r="M31" i="13"/>
  <c r="M30" i="13"/>
  <c r="C2" i="52" s="1"/>
  <c r="M17" i="13"/>
  <c r="G1" i="13"/>
  <c r="C25" i="12"/>
  <c r="L23" i="12"/>
  <c r="C23" i="12"/>
  <c r="L21" i="12"/>
  <c r="C21" i="12"/>
  <c r="C17" i="12"/>
  <c r="L15" i="12"/>
  <c r="C15" i="12"/>
  <c r="L13" i="12"/>
  <c r="N13" i="12" s="1"/>
  <c r="C13" i="12"/>
  <c r="G9" i="12"/>
  <c r="C9" i="12"/>
  <c r="L7" i="12"/>
  <c r="L5" i="12"/>
  <c r="C5" i="12"/>
  <c r="G2" i="12"/>
  <c r="N7" i="12" s="1"/>
  <c r="F3" i="11"/>
  <c r="E53" i="10"/>
  <c r="E51" i="10"/>
  <c r="E49" i="10"/>
  <c r="E43" i="10"/>
  <c r="E41" i="10"/>
  <c r="E39" i="10"/>
  <c r="E37" i="10"/>
  <c r="E35" i="10"/>
  <c r="E33" i="10"/>
  <c r="E31" i="10"/>
  <c r="E29" i="10"/>
  <c r="E27" i="10"/>
  <c r="E25" i="10"/>
  <c r="E23" i="10"/>
  <c r="E63" i="10" s="1"/>
  <c r="E21" i="10"/>
  <c r="E61" i="10" s="1"/>
  <c r="E19" i="10"/>
  <c r="E59" i="10" s="1"/>
  <c r="E17" i="10"/>
  <c r="E57" i="10" s="1"/>
  <c r="E15" i="10"/>
  <c r="E55" i="10" s="1"/>
  <c r="E13" i="10"/>
  <c r="E11" i="10"/>
  <c r="H9" i="10"/>
  <c r="H11" i="10" s="1"/>
  <c r="H13" i="10" s="1"/>
  <c r="H15" i="10" s="1"/>
  <c r="H17" i="10" s="1"/>
  <c r="H19" i="10" s="1"/>
  <c r="H21" i="10" s="1"/>
  <c r="H23" i="10" s="1"/>
  <c r="H25" i="10" s="1"/>
  <c r="H27" i="10" s="1"/>
  <c r="H29" i="10" s="1"/>
  <c r="H31" i="10" s="1"/>
  <c r="H33" i="10" s="1"/>
  <c r="H35" i="10" s="1"/>
  <c r="H37" i="10" s="1"/>
  <c r="H39" i="10" s="1"/>
  <c r="H41" i="10" s="1"/>
  <c r="H43" i="10" s="1"/>
  <c r="H45" i="10" s="1"/>
  <c r="H47" i="10" s="1"/>
  <c r="H49" i="10" s="1"/>
  <c r="H51" i="10" s="1"/>
  <c r="H53" i="10" s="1"/>
  <c r="H55" i="10" s="1"/>
  <c r="H57" i="10" s="1"/>
  <c r="H59" i="10" s="1"/>
  <c r="H61" i="10" s="1"/>
  <c r="H63" i="10" s="1"/>
  <c r="E9" i="10"/>
  <c r="H7" i="10"/>
  <c r="E7" i="10"/>
  <c r="E47" i="10" s="1"/>
  <c r="H5" i="10"/>
  <c r="F5" i="10"/>
  <c r="G5" i="10" s="1"/>
  <c r="E5" i="10"/>
  <c r="E45" i="10" s="1"/>
  <c r="D5" i="10"/>
  <c r="O54" i="7"/>
  <c r="O51" i="7"/>
  <c r="M51" i="7"/>
  <c r="M50" i="7"/>
  <c r="M49" i="7"/>
  <c r="O42" i="7"/>
  <c r="M32" i="7"/>
  <c r="M31" i="7"/>
  <c r="M30" i="7"/>
  <c r="O33" i="7" s="1"/>
  <c r="O18" i="7"/>
  <c r="M17" i="7"/>
  <c r="G1" i="7"/>
  <c r="H5" i="6"/>
  <c r="H6" i="6" s="1"/>
  <c r="H7" i="6" s="1"/>
  <c r="H8" i="6" s="1"/>
  <c r="H9" i="6" s="1"/>
  <c r="H10" i="6" s="1"/>
  <c r="H11" i="6" s="1"/>
  <c r="H12" i="6" s="1"/>
  <c r="H13" i="6" s="1"/>
  <c r="H14" i="6" s="1"/>
  <c r="H15" i="6" s="1"/>
  <c r="H16" i="6" s="1"/>
  <c r="H17" i="6" s="1"/>
  <c r="H18" i="6" s="1"/>
  <c r="H19" i="6" s="1"/>
  <c r="H20" i="6" s="1"/>
  <c r="H21" i="6" s="1"/>
  <c r="H22" i="6" s="1"/>
  <c r="H23" i="6" s="1"/>
  <c r="H24" i="6" s="1"/>
  <c r="H25" i="6" s="1"/>
  <c r="F5" i="6"/>
  <c r="F6" i="6" s="1"/>
  <c r="F7" i="6" s="1"/>
  <c r="F8" i="6" s="1"/>
  <c r="F9" i="6" s="1"/>
  <c r="F10" i="6" s="1"/>
  <c r="F11" i="6" s="1"/>
  <c r="F12" i="6" s="1"/>
  <c r="F13" i="6" s="1"/>
  <c r="F14" i="6" s="1"/>
  <c r="F15" i="6" s="1"/>
  <c r="F16" i="6" s="1"/>
  <c r="F17" i="6" s="1"/>
  <c r="F18" i="6" s="1"/>
  <c r="F19" i="6" s="1"/>
  <c r="F20" i="6" s="1"/>
  <c r="F21" i="6" s="1"/>
  <c r="F22" i="6" s="1"/>
  <c r="F23" i="6" s="1"/>
  <c r="F24" i="6" s="1"/>
  <c r="F25" i="6" s="1"/>
  <c r="H2" i="6"/>
  <c r="H3" i="6" s="1"/>
  <c r="H4" i="6" s="1"/>
  <c r="B2" i="6"/>
  <c r="F2" i="6" s="1"/>
  <c r="F3" i="6" s="1"/>
  <c r="F4" i="6" s="1"/>
  <c r="L10" i="5"/>
  <c r="K31" i="4"/>
  <c r="M27" i="4"/>
  <c r="L26" i="4"/>
  <c r="K26" i="4"/>
  <c r="J26" i="4"/>
  <c r="L25" i="4"/>
  <c r="L27" i="4" s="1"/>
  <c r="K25" i="4"/>
  <c r="K27" i="4" s="1"/>
  <c r="J25" i="4"/>
  <c r="J27" i="4" s="1"/>
  <c r="L16" i="4"/>
  <c r="K16" i="4"/>
  <c r="L15" i="4"/>
  <c r="K15" i="4"/>
  <c r="J15" i="4"/>
  <c r="J3" i="4"/>
  <c r="M57" i="3"/>
  <c r="M56" i="3"/>
  <c r="M55" i="3"/>
  <c r="M54" i="3"/>
  <c r="M53" i="3"/>
  <c r="M52" i="3"/>
  <c r="M51" i="3"/>
  <c r="M50" i="3"/>
  <c r="N49" i="3"/>
  <c r="O48" i="3" s="1"/>
  <c r="M49" i="3"/>
  <c r="M48" i="3"/>
  <c r="M47" i="3"/>
  <c r="M46" i="3"/>
  <c r="N45" i="3"/>
  <c r="O44" i="3" s="1"/>
  <c r="M45" i="3"/>
  <c r="M44" i="3"/>
  <c r="M43" i="3"/>
  <c r="M42" i="3"/>
  <c r="M41" i="3"/>
  <c r="M40" i="3"/>
  <c r="M39" i="3"/>
  <c r="M38" i="3"/>
  <c r="M37" i="3"/>
  <c r="M36" i="3"/>
  <c r="M35" i="3"/>
  <c r="M34" i="3"/>
  <c r="M33" i="3"/>
  <c r="M32" i="3"/>
  <c r="M31" i="3"/>
  <c r="M30" i="3"/>
  <c r="M29" i="3"/>
  <c r="M28" i="3"/>
  <c r="C28" i="3"/>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M27" i="3"/>
  <c r="A27" i="3"/>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M26" i="3"/>
  <c r="M25" i="3"/>
  <c r="M24" i="3"/>
  <c r="C24" i="3"/>
  <c r="C25" i="3" s="1"/>
  <c r="C26" i="3" s="1"/>
  <c r="C27" i="3" s="1"/>
  <c r="M23" i="3"/>
  <c r="A23" i="3"/>
  <c r="A24" i="3" s="1"/>
  <c r="A25" i="3" s="1"/>
  <c r="A26" i="3" s="1"/>
  <c r="M22" i="3"/>
  <c r="C22" i="3"/>
  <c r="C23" i="3" s="1"/>
  <c r="G20" i="3"/>
  <c r="F20" i="3"/>
  <c r="D20" i="3"/>
  <c r="E19" i="3"/>
  <c r="D19" i="3"/>
  <c r="I12" i="3"/>
  <c r="G10" i="3"/>
  <c r="I10" i="3" s="1"/>
  <c r="G6" i="3"/>
  <c r="E20" i="3" s="1"/>
  <c r="C4" i="3"/>
  <c r="G3" i="3" s="1"/>
  <c r="A25" i="2"/>
  <c r="A26" i="2" s="1"/>
  <c r="A27" i="2" s="1"/>
  <c r="A28" i="2" s="1"/>
  <c r="A29" i="2" s="1"/>
  <c r="A30" i="2" s="1"/>
  <c r="A31" i="2" s="1"/>
  <c r="A32" i="2" s="1"/>
  <c r="A33" i="2" s="1"/>
  <c r="A34" i="2" s="1"/>
  <c r="A35" i="2" s="1"/>
  <c r="A36" i="2" s="1"/>
  <c r="A37" i="2" s="1"/>
  <c r="A38" i="2" s="1"/>
  <c r="A22" i="2"/>
  <c r="A23" i="2" s="1"/>
  <c r="A24" i="2" s="1"/>
  <c r="C20" i="2"/>
  <c r="K19" i="2"/>
  <c r="I19" i="2"/>
  <c r="I18" i="2"/>
  <c r="K18" i="2" s="1"/>
  <c r="K17" i="2"/>
  <c r="I17" i="2"/>
  <c r="I16" i="2"/>
  <c r="K16" i="2" s="1"/>
  <c r="K15" i="2"/>
  <c r="I15" i="2"/>
  <c r="I14" i="2"/>
  <c r="K14" i="2" s="1"/>
  <c r="K13" i="2"/>
  <c r="I13" i="2"/>
  <c r="I12" i="2"/>
  <c r="K12" i="2" s="1"/>
  <c r="B12" i="2"/>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A12" i="2"/>
  <c r="A13" i="2" s="1"/>
  <c r="A14" i="2" s="1"/>
  <c r="A15" i="2" s="1"/>
  <c r="A16" i="2" s="1"/>
  <c r="A17" i="2" s="1"/>
  <c r="A18" i="2" s="1"/>
  <c r="A19" i="2" s="1"/>
  <c r="A20" i="2" s="1"/>
  <c r="A21" i="2" s="1"/>
  <c r="K11" i="2"/>
  <c r="I11" i="2"/>
  <c r="K9" i="2"/>
  <c r="I9" i="2"/>
  <c r="J26" i="1"/>
  <c r="J25" i="1"/>
  <c r="J24" i="1"/>
  <c r="J23" i="1"/>
  <c r="J22" i="1"/>
  <c r="J21" i="1"/>
  <c r="J20" i="1"/>
  <c r="J18" i="1"/>
  <c r="J17" i="1"/>
  <c r="J28" i="1" s="1"/>
  <c r="J29" i="1" s="1"/>
  <c r="J16" i="1"/>
  <c r="J15" i="1"/>
  <c r="J14" i="1"/>
  <c r="J13" i="1"/>
  <c r="J12" i="1"/>
  <c r="J9" i="1"/>
  <c r="G5" i="1"/>
  <c r="J5" i="1" s="1"/>
  <c r="J3" i="1"/>
  <c r="G3" i="1"/>
  <c r="G11" i="18" l="1"/>
  <c r="I25" i="18" s="1"/>
  <c r="O30" i="19"/>
  <c r="O23" i="19"/>
  <c r="O29" i="19"/>
  <c r="O28" i="19"/>
  <c r="O32" i="19"/>
  <c r="O25" i="19"/>
  <c r="O41" i="19"/>
  <c r="O36" i="19"/>
  <c r="O33" i="19"/>
  <c r="O37" i="19"/>
  <c r="D16" i="18"/>
  <c r="D17" i="18" s="1"/>
  <c r="O39" i="19"/>
  <c r="O40" i="19"/>
  <c r="O40" i="21"/>
  <c r="O44" i="19"/>
  <c r="O41" i="21"/>
  <c r="O38" i="21"/>
  <c r="O28" i="21"/>
  <c r="O35" i="21"/>
  <c r="O32" i="21"/>
  <c r="O39" i="21"/>
  <c r="O42" i="21"/>
  <c r="O33" i="21"/>
  <c r="O37" i="129"/>
  <c r="O41" i="129"/>
  <c r="O27" i="129"/>
  <c r="O24" i="129"/>
  <c r="O31" i="129"/>
  <c r="O35" i="129"/>
  <c r="O39" i="129"/>
  <c r="O43" i="129"/>
  <c r="O43" i="19"/>
  <c r="O38" i="19"/>
  <c r="J15" i="130"/>
  <c r="J17" i="130" s="1"/>
  <c r="O26" i="129"/>
  <c r="O30" i="129"/>
  <c r="O34" i="129"/>
  <c r="O42" i="129"/>
  <c r="N54" i="3"/>
  <c r="O54" i="3" s="1"/>
  <c r="N50" i="3"/>
  <c r="O50" i="3" s="1"/>
  <c r="N46" i="3"/>
  <c r="N42" i="3"/>
  <c r="O41" i="3" s="1"/>
  <c r="N38" i="3"/>
  <c r="N34" i="3"/>
  <c r="N30" i="3"/>
  <c r="N26" i="3"/>
  <c r="N22" i="3"/>
  <c r="N55" i="3"/>
  <c r="O55" i="3" s="1"/>
  <c r="N51" i="3"/>
  <c r="O51" i="3" s="1"/>
  <c r="N47" i="3"/>
  <c r="O46" i="3" s="1"/>
  <c r="N43" i="3"/>
  <c r="O42" i="3" s="1"/>
  <c r="N39" i="3"/>
  <c r="O38" i="3" s="1"/>
  <c r="N35" i="3"/>
  <c r="O34" i="3" s="1"/>
  <c r="N31" i="3"/>
  <c r="O30" i="3" s="1"/>
  <c r="N27" i="3"/>
  <c r="O26" i="3" s="1"/>
  <c r="N23" i="3"/>
  <c r="O22" i="3" s="1"/>
  <c r="N56" i="3"/>
  <c r="O56" i="3" s="1"/>
  <c r="N52" i="3"/>
  <c r="O52" i="3" s="1"/>
  <c r="N48" i="3"/>
  <c r="O47" i="3" s="1"/>
  <c r="N44" i="3"/>
  <c r="O43" i="3" s="1"/>
  <c r="N40" i="3"/>
  <c r="O39" i="3" s="1"/>
  <c r="N36" i="3"/>
  <c r="O35" i="3" s="1"/>
  <c r="N32" i="3"/>
  <c r="O31" i="3" s="1"/>
  <c r="N28" i="3"/>
  <c r="O27" i="3" s="1"/>
  <c r="N24" i="3"/>
  <c r="O23" i="3" s="1"/>
  <c r="D22" i="50"/>
  <c r="N25" i="3"/>
  <c r="O24" i="3" s="1"/>
  <c r="O29" i="3"/>
  <c r="N57" i="3"/>
  <c r="G15" i="12"/>
  <c r="G25" i="12"/>
  <c r="O26" i="19"/>
  <c r="N29" i="3"/>
  <c r="O28" i="3" s="1"/>
  <c r="O33" i="3"/>
  <c r="O35" i="7"/>
  <c r="O53" i="7"/>
  <c r="O55" i="7" s="1"/>
  <c r="N15" i="12"/>
  <c r="D3" i="27"/>
  <c r="H2" i="27"/>
  <c r="N56" i="32"/>
  <c r="N51" i="32"/>
  <c r="O50" i="32" s="1"/>
  <c r="N57" i="32"/>
  <c r="O57" i="32" s="1"/>
  <c r="N52" i="32"/>
  <c r="O51" i="32" s="1"/>
  <c r="N44" i="32"/>
  <c r="O43" i="32" s="1"/>
  <c r="N49" i="32"/>
  <c r="O44" i="32" s="1"/>
  <c r="N42" i="32"/>
  <c r="N38" i="32"/>
  <c r="O37" i="32" s="1"/>
  <c r="N34" i="32"/>
  <c r="N30" i="32"/>
  <c r="N26" i="32"/>
  <c r="O25" i="32" s="1"/>
  <c r="N54" i="32"/>
  <c r="O52" i="32" s="1"/>
  <c r="N41" i="32"/>
  <c r="O40" i="32" s="1"/>
  <c r="N29" i="32"/>
  <c r="O28" i="32" s="1"/>
  <c r="N33" i="32"/>
  <c r="O32" i="32" s="1"/>
  <c r="N55" i="32"/>
  <c r="N43" i="32"/>
  <c r="O42" i="32" s="1"/>
  <c r="N39" i="32"/>
  <c r="O38" i="32" s="1"/>
  <c r="N35" i="32"/>
  <c r="O34" i="32" s="1"/>
  <c r="N31" i="32"/>
  <c r="O30" i="32" s="1"/>
  <c r="N27" i="32"/>
  <c r="O26" i="32" s="1"/>
  <c r="N23" i="32"/>
  <c r="N25" i="32"/>
  <c r="O24" i="32" s="1"/>
  <c r="N37" i="32"/>
  <c r="O36" i="32" s="1"/>
  <c r="N50" i="32"/>
  <c r="O49" i="32" s="1"/>
  <c r="N40" i="32"/>
  <c r="N36" i="32"/>
  <c r="O35" i="32" s="1"/>
  <c r="N32" i="32"/>
  <c r="O31" i="32" s="1"/>
  <c r="N28" i="32"/>
  <c r="N24" i="32"/>
  <c r="O25" i="3"/>
  <c r="O57" i="3"/>
  <c r="D31" i="18"/>
  <c r="O41" i="32"/>
  <c r="N33" i="3"/>
  <c r="O32" i="3" s="1"/>
  <c r="O37" i="3"/>
  <c r="A2" i="75"/>
  <c r="A2" i="47"/>
  <c r="A2" i="49"/>
  <c r="A2" i="61"/>
  <c r="O18" i="13"/>
  <c r="O34" i="19"/>
  <c r="G13" i="31"/>
  <c r="I9" i="31"/>
  <c r="O23" i="32"/>
  <c r="O27" i="32"/>
  <c r="C2" i="34"/>
  <c r="O32" i="33"/>
  <c r="N55" i="37"/>
  <c r="O54" i="37" s="1"/>
  <c r="N50" i="37"/>
  <c r="O49" i="37" s="1"/>
  <c r="N42" i="37"/>
  <c r="O41" i="37" s="1"/>
  <c r="N38" i="37"/>
  <c r="O37" i="37" s="1"/>
  <c r="N34" i="37"/>
  <c r="O33" i="37" s="1"/>
  <c r="N30" i="37"/>
  <c r="O29" i="37" s="1"/>
  <c r="N26" i="37"/>
  <c r="O25" i="37" s="1"/>
  <c r="N57" i="37"/>
  <c r="N39" i="37"/>
  <c r="N33" i="37"/>
  <c r="N43" i="37"/>
  <c r="O42" i="37" s="1"/>
  <c r="N37" i="37"/>
  <c r="N24" i="37"/>
  <c r="O23" i="37" s="1"/>
  <c r="N51" i="37"/>
  <c r="N41" i="37"/>
  <c r="N28" i="37"/>
  <c r="O27" i="37" s="1"/>
  <c r="N25" i="37"/>
  <c r="N56" i="37"/>
  <c r="O56" i="37" s="1"/>
  <c r="N49" i="37"/>
  <c r="O44" i="37" s="1"/>
  <c r="N32" i="37"/>
  <c r="O31" i="37" s="1"/>
  <c r="N44" i="37"/>
  <c r="O43" i="37" s="1"/>
  <c r="N54" i="37"/>
  <c r="N36" i="37"/>
  <c r="O35" i="37" s="1"/>
  <c r="N31" i="37"/>
  <c r="N40" i="37"/>
  <c r="O39" i="37" s="1"/>
  <c r="N27" i="37"/>
  <c r="N23" i="37"/>
  <c r="O50" i="37"/>
  <c r="O53" i="3"/>
  <c r="L11" i="5"/>
  <c r="L13" i="5" s="1"/>
  <c r="G23" i="38"/>
  <c r="N15" i="38"/>
  <c r="G5" i="38"/>
  <c r="G25" i="38"/>
  <c r="G13" i="38"/>
  <c r="G17" i="38"/>
  <c r="N23" i="38"/>
  <c r="G15" i="38"/>
  <c r="N21" i="38"/>
  <c r="G21" i="38"/>
  <c r="C21" i="2"/>
  <c r="I20" i="2"/>
  <c r="K20" i="2" s="1"/>
  <c r="J16" i="75"/>
  <c r="J10" i="93"/>
  <c r="O25" i="23"/>
  <c r="N53" i="3"/>
  <c r="N37" i="3"/>
  <c r="O36" i="3" s="1"/>
  <c r="K17" i="4"/>
  <c r="G21" i="12"/>
  <c r="O25" i="26"/>
  <c r="O33" i="32"/>
  <c r="L13" i="35"/>
  <c r="N13" i="35" s="1"/>
  <c r="O54" i="32"/>
  <c r="N41" i="3"/>
  <c r="O40" i="3" s="1"/>
  <c r="O45" i="3"/>
  <c r="L17" i="4"/>
  <c r="F4" i="11"/>
  <c r="F5" i="11"/>
  <c r="D10" i="11" s="1"/>
  <c r="O42" i="19"/>
  <c r="O23" i="21"/>
  <c r="O31" i="21"/>
  <c r="O25" i="25"/>
  <c r="O39" i="32"/>
  <c r="O55" i="32"/>
  <c r="O31" i="36"/>
  <c r="N29" i="37"/>
  <c r="N35" i="37"/>
  <c r="N23" i="12"/>
  <c r="G17" i="12"/>
  <c r="G13" i="12"/>
  <c r="N5" i="12"/>
  <c r="G23" i="12"/>
  <c r="J3" i="3"/>
  <c r="B22" i="3"/>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O49" i="3"/>
  <c r="I5" i="10"/>
  <c r="K5" i="10" s="1"/>
  <c r="D7" i="10" s="1"/>
  <c r="N21" i="12"/>
  <c r="O29" i="32"/>
  <c r="O56" i="32"/>
  <c r="C2" i="20"/>
  <c r="O30" i="36"/>
  <c r="O36" i="37"/>
  <c r="O38" i="37"/>
  <c r="O50" i="40"/>
  <c r="G15" i="41"/>
  <c r="N41" i="43"/>
  <c r="O40" i="43" s="1"/>
  <c r="O29" i="44"/>
  <c r="O36" i="44"/>
  <c r="N57" i="45"/>
  <c r="D24" i="57"/>
  <c r="B2" i="75"/>
  <c r="B2" i="52"/>
  <c r="O43" i="21"/>
  <c r="L5" i="38"/>
  <c r="L5" i="35"/>
  <c r="L5" i="41"/>
  <c r="N5" i="41" s="1"/>
  <c r="N54" i="36"/>
  <c r="O52" i="36" s="1"/>
  <c r="N49" i="36"/>
  <c r="O44" i="36" s="1"/>
  <c r="N41" i="36"/>
  <c r="O40" i="36" s="1"/>
  <c r="N37" i="36"/>
  <c r="O36" i="36" s="1"/>
  <c r="N33" i="36"/>
  <c r="O32" i="36" s="1"/>
  <c r="N29" i="36"/>
  <c r="O28" i="36" s="1"/>
  <c r="N25" i="36"/>
  <c r="O24" i="36" s="1"/>
  <c r="N55" i="36"/>
  <c r="O54" i="36" s="1"/>
  <c r="N50" i="36"/>
  <c r="O49" i="36" s="1"/>
  <c r="N42" i="36"/>
  <c r="O41" i="36" s="1"/>
  <c r="N38" i="36"/>
  <c r="O37" i="36" s="1"/>
  <c r="N34" i="36"/>
  <c r="O33" i="36" s="1"/>
  <c r="N30" i="36"/>
  <c r="O29" i="36" s="1"/>
  <c r="N26" i="36"/>
  <c r="O25" i="36" s="1"/>
  <c r="N56" i="36"/>
  <c r="O56" i="36" s="1"/>
  <c r="N51" i="36"/>
  <c r="N43" i="36"/>
  <c r="N39" i="36"/>
  <c r="O38" i="36" s="1"/>
  <c r="N35" i="36"/>
  <c r="O34" i="36" s="1"/>
  <c r="N31" i="36"/>
  <c r="N27" i="36"/>
  <c r="O26" i="36" s="1"/>
  <c r="N23" i="36"/>
  <c r="N28" i="36"/>
  <c r="O27" i="36" s="1"/>
  <c r="O55" i="36"/>
  <c r="O32" i="37"/>
  <c r="O34" i="37"/>
  <c r="N15" i="41"/>
  <c r="N49" i="43"/>
  <c r="O44" i="43" s="1"/>
  <c r="O33" i="44"/>
  <c r="N52" i="46"/>
  <c r="N40" i="46"/>
  <c r="N32" i="46"/>
  <c r="N24" i="46"/>
  <c r="O23" i="46" s="1"/>
  <c r="N54" i="46"/>
  <c r="N41" i="46"/>
  <c r="N33" i="46"/>
  <c r="N25" i="46"/>
  <c r="N55" i="46"/>
  <c r="N42" i="46"/>
  <c r="N34" i="46"/>
  <c r="N26" i="46"/>
  <c r="N56" i="46"/>
  <c r="N43" i="46"/>
  <c r="N35" i="46"/>
  <c r="N27" i="46"/>
  <c r="N57" i="46"/>
  <c r="N44" i="46"/>
  <c r="N36" i="46"/>
  <c r="N50" i="46"/>
  <c r="N31" i="46"/>
  <c r="N28" i="46"/>
  <c r="N49" i="46"/>
  <c r="N39" i="46"/>
  <c r="N30" i="46"/>
  <c r="N23" i="46"/>
  <c r="N38" i="46"/>
  <c r="O40" i="37"/>
  <c r="K18" i="60"/>
  <c r="K25" i="60"/>
  <c r="K27" i="60" s="1"/>
  <c r="L9" i="83"/>
  <c r="C2" i="75"/>
  <c r="C2" i="22"/>
  <c r="D28" i="23"/>
  <c r="D28" i="24"/>
  <c r="D28" i="25"/>
  <c r="D28" i="26"/>
  <c r="O28" i="37"/>
  <c r="O30" i="37"/>
  <c r="O24" i="43"/>
  <c r="O35" i="43"/>
  <c r="N54" i="43"/>
  <c r="O49" i="43" s="1"/>
  <c r="N51" i="45"/>
  <c r="N52" i="45"/>
  <c r="N54" i="45"/>
  <c r="N55" i="45"/>
  <c r="N42" i="45"/>
  <c r="N39" i="45"/>
  <c r="N31" i="45"/>
  <c r="N23" i="45"/>
  <c r="N49" i="45"/>
  <c r="N43" i="45"/>
  <c r="N40" i="45"/>
  <c r="N32" i="45"/>
  <c r="N24" i="45"/>
  <c r="O23" i="45" s="1"/>
  <c r="N56" i="45"/>
  <c r="N41" i="45"/>
  <c r="N33" i="45"/>
  <c r="N25" i="45"/>
  <c r="N34" i="45"/>
  <c r="N26" i="45"/>
  <c r="N35" i="45"/>
  <c r="N27" i="45"/>
  <c r="N50" i="45"/>
  <c r="N44" i="45"/>
  <c r="N36" i="45"/>
  <c r="N28" i="45"/>
  <c r="N30" i="45"/>
  <c r="O42" i="36"/>
  <c r="O24" i="37"/>
  <c r="O26" i="37"/>
  <c r="O25" i="43"/>
  <c r="O41" i="44"/>
  <c r="D24" i="53"/>
  <c r="D2" i="6"/>
  <c r="D3" i="6" s="1"/>
  <c r="D4" i="6" s="1"/>
  <c r="D5" i="6" s="1"/>
  <c r="D6" i="6" s="1"/>
  <c r="D7" i="6" s="1"/>
  <c r="D8" i="6" s="1"/>
  <c r="D9" i="6" s="1"/>
  <c r="D10" i="6" s="1"/>
  <c r="D11" i="6" s="1"/>
  <c r="D12" i="6" s="1"/>
  <c r="D13" i="6" s="1"/>
  <c r="D14" i="6" s="1"/>
  <c r="D15" i="6" s="1"/>
  <c r="D16" i="6" s="1"/>
  <c r="D17" i="6" s="1"/>
  <c r="D18" i="6" s="1"/>
  <c r="D19" i="6" s="1"/>
  <c r="D20" i="6" s="1"/>
  <c r="D21" i="6" s="1"/>
  <c r="D22" i="6" s="1"/>
  <c r="D23" i="6" s="1"/>
  <c r="D24" i="6" s="1"/>
  <c r="D25" i="6" s="1"/>
  <c r="N24" i="36"/>
  <c r="O23" i="36" s="1"/>
  <c r="O50" i="36"/>
  <c r="O57" i="37"/>
  <c r="O26" i="40"/>
  <c r="O29" i="43"/>
  <c r="O32" i="43"/>
  <c r="O49" i="44"/>
  <c r="E21" i="55"/>
  <c r="E22" i="55" s="1"/>
  <c r="E23" i="55" s="1"/>
  <c r="E24" i="55" s="1"/>
  <c r="E25" i="55" s="1"/>
  <c r="E26" i="55" s="1"/>
  <c r="E27" i="55" s="1"/>
  <c r="E28" i="55" s="1"/>
  <c r="E29" i="55" s="1"/>
  <c r="E30" i="55" s="1"/>
  <c r="E31" i="55" s="1"/>
  <c r="E32" i="55" s="1"/>
  <c r="E33" i="55" s="1"/>
  <c r="M20" i="55"/>
  <c r="M2" i="73"/>
  <c r="M2" i="72"/>
  <c r="M2" i="74"/>
  <c r="M2" i="69"/>
  <c r="M2" i="71"/>
  <c r="M2" i="70"/>
  <c r="M2" i="67"/>
  <c r="M2" i="64"/>
  <c r="M2" i="66"/>
  <c r="O34" i="33"/>
  <c r="O52" i="33"/>
  <c r="O54" i="33" s="1"/>
  <c r="O52" i="37"/>
  <c r="O55" i="37"/>
  <c r="O42" i="40"/>
  <c r="O49" i="40"/>
  <c r="N55" i="43"/>
  <c r="O55" i="43" s="1"/>
  <c r="N50" i="43"/>
  <c r="N42" i="43"/>
  <c r="O41" i="43" s="1"/>
  <c r="N38" i="43"/>
  <c r="O37" i="43" s="1"/>
  <c r="N34" i="43"/>
  <c r="N30" i="43"/>
  <c r="N26" i="43"/>
  <c r="N56" i="43"/>
  <c r="O56" i="43" s="1"/>
  <c r="N51" i="43"/>
  <c r="O50" i="43" s="1"/>
  <c r="N43" i="43"/>
  <c r="O42" i="43" s="1"/>
  <c r="N39" i="43"/>
  <c r="O38" i="43" s="1"/>
  <c r="N35" i="43"/>
  <c r="O34" i="43" s="1"/>
  <c r="N31" i="43"/>
  <c r="O30" i="43" s="1"/>
  <c r="N27" i="43"/>
  <c r="O26" i="43" s="1"/>
  <c r="N23" i="43"/>
  <c r="N57" i="43"/>
  <c r="O57" i="43" s="1"/>
  <c r="N52" i="43"/>
  <c r="O51" i="43" s="1"/>
  <c r="N44" i="43"/>
  <c r="O43" i="43" s="1"/>
  <c r="N40" i="43"/>
  <c r="O39" i="43" s="1"/>
  <c r="N36" i="43"/>
  <c r="N32" i="43"/>
  <c r="O31" i="43" s="1"/>
  <c r="N28" i="43"/>
  <c r="O27" i="43" s="1"/>
  <c r="N24" i="43"/>
  <c r="O23" i="43" s="1"/>
  <c r="N29" i="43"/>
  <c r="O28" i="43" s="1"/>
  <c r="O33" i="43"/>
  <c r="O36" i="43"/>
  <c r="O24" i="44"/>
  <c r="O54" i="44"/>
  <c r="D22" i="58"/>
  <c r="N26" i="40"/>
  <c r="O25" i="40" s="1"/>
  <c r="N30" i="40"/>
  <c r="O29" i="40" s="1"/>
  <c r="N34" i="40"/>
  <c r="O33" i="40" s="1"/>
  <c r="N38" i="40"/>
  <c r="O37" i="40" s="1"/>
  <c r="N42" i="40"/>
  <c r="O41" i="40" s="1"/>
  <c r="N50" i="40"/>
  <c r="N55" i="40"/>
  <c r="O54" i="40" s="1"/>
  <c r="N25" i="44"/>
  <c r="N29" i="44"/>
  <c r="O28" i="44" s="1"/>
  <c r="N33" i="44"/>
  <c r="O32" i="44" s="1"/>
  <c r="N37" i="44"/>
  <c r="N41" i="44"/>
  <c r="O40" i="44" s="1"/>
  <c r="N49" i="44"/>
  <c r="O44" i="44" s="1"/>
  <c r="N54" i="44"/>
  <c r="O52" i="44" s="1"/>
  <c r="N55" i="48"/>
  <c r="O55" i="48" s="1"/>
  <c r="N50" i="48"/>
  <c r="N42" i="48"/>
  <c r="O41" i="48" s="1"/>
  <c r="N38" i="48"/>
  <c r="O37" i="48" s="1"/>
  <c r="N34" i="48"/>
  <c r="N30" i="48"/>
  <c r="O29" i="48" s="1"/>
  <c r="N26" i="48"/>
  <c r="O25" i="48" s="1"/>
  <c r="N56" i="48"/>
  <c r="N51" i="48"/>
  <c r="O50" i="48" s="1"/>
  <c r="N43" i="48"/>
  <c r="O42" i="48" s="1"/>
  <c r="N39" i="48"/>
  <c r="O38" i="48" s="1"/>
  <c r="N35" i="48"/>
  <c r="O34" i="48" s="1"/>
  <c r="N31" i="48"/>
  <c r="O30" i="48" s="1"/>
  <c r="N27" i="48"/>
  <c r="O26" i="48" s="1"/>
  <c r="N23" i="48"/>
  <c r="O51" i="48"/>
  <c r="L10" i="68"/>
  <c r="L16" i="68"/>
  <c r="L22" i="68"/>
  <c r="L28" i="68"/>
  <c r="J15" i="68"/>
  <c r="L15" i="68"/>
  <c r="L17" i="68" s="1"/>
  <c r="K15" i="68"/>
  <c r="L23" i="41"/>
  <c r="N23" i="41" s="1"/>
  <c r="M17" i="54"/>
  <c r="E18" i="54"/>
  <c r="N25" i="40"/>
  <c r="O24" i="40" s="1"/>
  <c r="N29" i="40"/>
  <c r="O28" i="40" s="1"/>
  <c r="N33" i="40"/>
  <c r="O32" i="40" s="1"/>
  <c r="N37" i="40"/>
  <c r="O36" i="40" s="1"/>
  <c r="N41" i="40"/>
  <c r="O40" i="40" s="1"/>
  <c r="N49" i="40"/>
  <c r="O44" i="40" s="1"/>
  <c r="N54" i="40"/>
  <c r="O52" i="40" s="1"/>
  <c r="N24" i="44"/>
  <c r="O23" i="44" s="1"/>
  <c r="N28" i="44"/>
  <c r="O27" i="44" s="1"/>
  <c r="N32" i="44"/>
  <c r="O31" i="44" s="1"/>
  <c r="N36" i="44"/>
  <c r="O35" i="44" s="1"/>
  <c r="N40" i="44"/>
  <c r="O39" i="44" s="1"/>
  <c r="N44" i="44"/>
  <c r="O43" i="44" s="1"/>
  <c r="N52" i="44"/>
  <c r="O51" i="44" s="1"/>
  <c r="N57" i="44"/>
  <c r="O57" i="44" s="1"/>
  <c r="O23" i="48"/>
  <c r="O35" i="48"/>
  <c r="O49" i="48"/>
  <c r="O56" i="48"/>
  <c r="L9" i="77"/>
  <c r="L11" i="77" s="1"/>
  <c r="K9" i="77"/>
  <c r="K11" i="77" s="1"/>
  <c r="J9" i="77"/>
  <c r="N29" i="48"/>
  <c r="O28" i="48" s="1"/>
  <c r="N32" i="48"/>
  <c r="O31" i="48" s="1"/>
  <c r="N49" i="48"/>
  <c r="O44" i="48" s="1"/>
  <c r="N52" i="48"/>
  <c r="N17" i="51"/>
  <c r="E18" i="51"/>
  <c r="E19" i="51" s="1"/>
  <c r="E20" i="51" s="1"/>
  <c r="E21" i="51" s="1"/>
  <c r="E22" i="51" s="1"/>
  <c r="E23" i="51" s="1"/>
  <c r="E24" i="51" s="1"/>
  <c r="E25" i="51" s="1"/>
  <c r="E26" i="51" s="1"/>
  <c r="E27" i="51" s="1"/>
  <c r="E28" i="51" s="1"/>
  <c r="E29" i="51" s="1"/>
  <c r="E30" i="51" s="1"/>
  <c r="E31" i="51" s="1"/>
  <c r="E36" i="67"/>
  <c r="M35" i="67"/>
  <c r="N24" i="40"/>
  <c r="O23" i="40" s="1"/>
  <c r="N28" i="40"/>
  <c r="O27" i="40" s="1"/>
  <c r="N32" i="40"/>
  <c r="O31" i="40" s="1"/>
  <c r="N36" i="40"/>
  <c r="O35" i="40" s="1"/>
  <c r="N40" i="40"/>
  <c r="O39" i="40" s="1"/>
  <c r="N44" i="40"/>
  <c r="O43" i="40" s="1"/>
  <c r="N52" i="40"/>
  <c r="O51" i="40" s="1"/>
  <c r="N23" i="44"/>
  <c r="N27" i="44"/>
  <c r="O26" i="44" s="1"/>
  <c r="N31" i="44"/>
  <c r="O30" i="44" s="1"/>
  <c r="N35" i="44"/>
  <c r="O34" i="44" s="1"/>
  <c r="N39" i="44"/>
  <c r="O38" i="44" s="1"/>
  <c r="N43" i="44"/>
  <c r="O42" i="44" s="1"/>
  <c r="N51" i="44"/>
  <c r="O50" i="44" s="1"/>
  <c r="O33" i="48"/>
  <c r="O39" i="48"/>
  <c r="O54" i="48"/>
  <c r="M34" i="66"/>
  <c r="E35" i="66"/>
  <c r="K17" i="47"/>
  <c r="E18" i="50"/>
  <c r="D19" i="51"/>
  <c r="E17" i="53"/>
  <c r="M21" i="55"/>
  <c r="D22" i="55"/>
  <c r="K9" i="68"/>
  <c r="K11" i="68" s="1"/>
  <c r="K27" i="68"/>
  <c r="K29" i="68" s="1"/>
  <c r="J27" i="68"/>
  <c r="J29" i="68" s="1"/>
  <c r="L9" i="68"/>
  <c r="L11" i="68" s="1"/>
  <c r="L27" i="68"/>
  <c r="L29" i="68" s="1"/>
  <c r="L16" i="61"/>
  <c r="L8" i="60"/>
  <c r="L9" i="60" s="1"/>
  <c r="L9" i="63"/>
  <c r="L11" i="63" s="1"/>
  <c r="K9" i="63"/>
  <c r="K11" i="63" s="1"/>
  <c r="L27" i="63"/>
  <c r="L29" i="63" s="1"/>
  <c r="J9" i="63"/>
  <c r="K27" i="63"/>
  <c r="K29" i="63" s="1"/>
  <c r="J31" i="65"/>
  <c r="J32" i="65" s="1"/>
  <c r="N16" i="58"/>
  <c r="E17" i="58"/>
  <c r="L18" i="59"/>
  <c r="L25" i="59"/>
  <c r="L27" i="59" s="1"/>
  <c r="K25" i="61"/>
  <c r="K27" i="61" s="1"/>
  <c r="J25" i="61"/>
  <c r="J27" i="61" s="1"/>
  <c r="L15" i="61"/>
  <c r="K15" i="61"/>
  <c r="K17" i="61" s="1"/>
  <c r="J15" i="61"/>
  <c r="L17" i="76"/>
  <c r="D21" i="56"/>
  <c r="K9" i="59"/>
  <c r="E18" i="56"/>
  <c r="N17" i="56"/>
  <c r="N18" i="57"/>
  <c r="E19" i="57"/>
  <c r="M32" i="66"/>
  <c r="D21" i="54"/>
  <c r="M31" i="66"/>
  <c r="K22" i="68"/>
  <c r="M34" i="67"/>
  <c r="J10" i="68"/>
  <c r="J11" i="68" s="1"/>
  <c r="K16" i="68"/>
  <c r="J17" i="75"/>
  <c r="K31" i="65"/>
  <c r="K32" i="65" s="1"/>
  <c r="K11" i="76"/>
  <c r="J11" i="93"/>
  <c r="L7" i="59"/>
  <c r="L9" i="59" s="1"/>
  <c r="M30" i="66"/>
  <c r="K10" i="79"/>
  <c r="K16" i="76"/>
  <c r="K10" i="76"/>
  <c r="L27" i="84"/>
  <c r="L22" i="76"/>
  <c r="J17" i="79"/>
  <c r="L17" i="79"/>
  <c r="K27" i="84"/>
  <c r="K24" i="84"/>
  <c r="O36" i="88"/>
  <c r="O54" i="88" s="1"/>
  <c r="O56" i="88" s="1"/>
  <c r="O36" i="89"/>
  <c r="O54" i="89" s="1"/>
  <c r="O56" i="89" s="1"/>
  <c r="L10" i="79"/>
  <c r="L11" i="79" s="1"/>
  <c r="L16" i="76"/>
  <c r="K17" i="75"/>
  <c r="L24" i="84"/>
  <c r="J11" i="76"/>
  <c r="K15" i="76"/>
  <c r="J15" i="76"/>
  <c r="D33" i="98"/>
  <c r="C11" i="99"/>
  <c r="C12" i="99" s="1"/>
  <c r="C13" i="99" s="1"/>
  <c r="C14" i="99" s="1"/>
  <c r="C15" i="99" s="1"/>
  <c r="C16" i="99" s="1"/>
  <c r="C17" i="99" s="1"/>
  <c r="C18" i="99" s="1"/>
  <c r="C19" i="99" s="1"/>
  <c r="C20" i="99" s="1"/>
  <c r="C21" i="99" s="1"/>
  <c r="C22" i="99" s="1"/>
  <c r="C23" i="99" s="1"/>
  <c r="C24" i="99" s="1"/>
  <c r="C25" i="99" s="1"/>
  <c r="C26" i="99" s="1"/>
  <c r="C27" i="99" s="1"/>
  <c r="C28" i="99" s="1"/>
  <c r="C29" i="99" s="1"/>
  <c r="C30" i="99" s="1"/>
  <c r="C31" i="99" s="1"/>
  <c r="C32" i="99" s="1"/>
  <c r="C33" i="99" s="1"/>
  <c r="C34" i="99" s="1"/>
  <c r="C35" i="99" s="1"/>
  <c r="C36" i="99" s="1"/>
  <c r="C37" i="99" s="1"/>
  <c r="C38" i="99" s="1"/>
  <c r="C12" i="97"/>
  <c r="C13" i="97" s="1"/>
  <c r="C14" i="97" s="1"/>
  <c r="C15" i="97" s="1"/>
  <c r="C16" i="97" s="1"/>
  <c r="C17" i="97" s="1"/>
  <c r="C18" i="97" s="1"/>
  <c r="C19" i="97" s="1"/>
  <c r="C20" i="97" s="1"/>
  <c r="C21" i="97" s="1"/>
  <c r="C22" i="97" s="1"/>
  <c r="C23" i="97" s="1"/>
  <c r="C24" i="97" s="1"/>
  <c r="C25" i="97" s="1"/>
  <c r="C26" i="97" s="1"/>
  <c r="C27" i="97" s="1"/>
  <c r="C28" i="97" s="1"/>
  <c r="C29" i="97" s="1"/>
  <c r="C30" i="97" s="1"/>
  <c r="C31" i="97" s="1"/>
  <c r="C32" i="97" s="1"/>
  <c r="C33" i="97" s="1"/>
  <c r="C34" i="97" s="1"/>
  <c r="C35" i="97" s="1"/>
  <c r="C36" i="97" s="1"/>
  <c r="C37" i="97" s="1"/>
  <c r="C38" i="97" s="1"/>
  <c r="N36" i="99"/>
  <c r="K9" i="79"/>
  <c r="E30" i="106"/>
  <c r="F5" i="106"/>
  <c r="D10" i="106" s="1"/>
  <c r="M12" i="106"/>
  <c r="M16" i="106"/>
  <c r="M20" i="106"/>
  <c r="M24" i="106"/>
  <c r="K15" i="118"/>
  <c r="K17" i="118" s="1"/>
  <c r="G12" i="119"/>
  <c r="G9" i="119"/>
  <c r="N17" i="114"/>
  <c r="D18" i="114"/>
  <c r="F27" i="119"/>
  <c r="A28" i="119" s="1"/>
  <c r="J11" i="118"/>
  <c r="J15" i="118"/>
  <c r="M10" i="106"/>
  <c r="M14" i="106"/>
  <c r="M18" i="106"/>
  <c r="M22" i="106"/>
  <c r="M26" i="106"/>
  <c r="L9" i="113"/>
  <c r="L11" i="113" s="1"/>
  <c r="K9" i="113"/>
  <c r="K11" i="113" s="1"/>
  <c r="J9" i="113"/>
  <c r="J11" i="128"/>
  <c r="J9" i="123"/>
  <c r="J9" i="126"/>
  <c r="K9" i="123"/>
  <c r="K11" i="123" s="1"/>
  <c r="K9" i="126"/>
  <c r="K11" i="126" s="1"/>
  <c r="J15" i="128"/>
  <c r="K15" i="125"/>
  <c r="K17" i="125" s="1"/>
  <c r="K15" i="128"/>
  <c r="K17" i="128" s="1"/>
  <c r="I24" i="18" l="1"/>
  <c r="I26" i="18" s="1"/>
  <c r="F7" i="10"/>
  <c r="G7" i="10"/>
  <c r="I7" i="10" s="1"/>
  <c r="D19" i="114"/>
  <c r="N18" i="114"/>
  <c r="O52" i="43"/>
  <c r="J11" i="126"/>
  <c r="L15" i="126"/>
  <c r="L17" i="126" s="1"/>
  <c r="K15" i="126"/>
  <c r="K17" i="126" s="1"/>
  <c r="J15" i="126"/>
  <c r="K17" i="76"/>
  <c r="J17" i="128"/>
  <c r="L21" i="128"/>
  <c r="L23" i="128" s="1"/>
  <c r="K21" i="128"/>
  <c r="K23" i="128" s="1"/>
  <c r="J21" i="128"/>
  <c r="J23" i="128" s="1"/>
  <c r="E19" i="50"/>
  <c r="N18" i="50"/>
  <c r="J15" i="77"/>
  <c r="J11" i="77"/>
  <c r="L15" i="77"/>
  <c r="L17" i="77" s="1"/>
  <c r="K15" i="77"/>
  <c r="K17" i="77" s="1"/>
  <c r="D22" i="56"/>
  <c r="L15" i="63"/>
  <c r="L17" i="63" s="1"/>
  <c r="K15" i="63"/>
  <c r="K17" i="63" s="1"/>
  <c r="J15" i="63"/>
  <c r="J11" i="63"/>
  <c r="C28" i="119"/>
  <c r="D28" i="119" s="1"/>
  <c r="B28" i="119"/>
  <c r="N33" i="98"/>
  <c r="D34" i="98"/>
  <c r="M36" i="67"/>
  <c r="E37" i="67"/>
  <c r="O55" i="40"/>
  <c r="K21" i="76"/>
  <c r="K23" i="76" s="1"/>
  <c r="J21" i="76"/>
  <c r="J23" i="76" s="1"/>
  <c r="L21" i="76"/>
  <c r="L23" i="76" s="1"/>
  <c r="J17" i="76"/>
  <c r="N19" i="57"/>
  <c r="E20" i="57"/>
  <c r="J10" i="106"/>
  <c r="F10" i="106"/>
  <c r="D12" i="106" s="1"/>
  <c r="F12" i="106" s="1"/>
  <c r="D14" i="106" s="1"/>
  <c r="F14" i="106" s="1"/>
  <c r="D16" i="106" s="1"/>
  <c r="F16" i="106" s="1"/>
  <c r="D18" i="106" s="1"/>
  <c r="F18" i="106" s="1"/>
  <c r="D20" i="106" s="1"/>
  <c r="F20" i="106" s="1"/>
  <c r="D22" i="106" s="1"/>
  <c r="F22" i="106" s="1"/>
  <c r="D24" i="106" s="1"/>
  <c r="F24" i="106" s="1"/>
  <c r="D26" i="106" s="1"/>
  <c r="F26" i="106" s="1"/>
  <c r="D28" i="106" s="1"/>
  <c r="F28" i="106" s="1"/>
  <c r="D30" i="106" s="1"/>
  <c r="F30" i="106" s="1"/>
  <c r="G17" i="31"/>
  <c r="I13" i="31"/>
  <c r="K17" i="68"/>
  <c r="L10" i="83"/>
  <c r="J11" i="123"/>
  <c r="L15" i="123"/>
  <c r="L17" i="123" s="1"/>
  <c r="K15" i="123"/>
  <c r="K17" i="123" s="1"/>
  <c r="N17" i="58"/>
  <c r="E18" i="58"/>
  <c r="M35" i="66"/>
  <c r="E36" i="66"/>
  <c r="M28" i="26"/>
  <c r="O28" i="26" s="1"/>
  <c r="D29" i="26"/>
  <c r="L21" i="68"/>
  <c r="L23" i="68" s="1"/>
  <c r="J17" i="68"/>
  <c r="K21" i="68"/>
  <c r="K23" i="68" s="1"/>
  <c r="J21" i="68"/>
  <c r="J23" i="68" s="1"/>
  <c r="D23" i="58"/>
  <c r="M28" i="25"/>
  <c r="O28" i="25" s="1"/>
  <c r="D29" i="25"/>
  <c r="D25" i="57"/>
  <c r="A2" i="93"/>
  <c r="A2" i="77"/>
  <c r="A2" i="63"/>
  <c r="A2" i="68"/>
  <c r="A2" i="79" s="1"/>
  <c r="A2" i="76"/>
  <c r="O34" i="13"/>
  <c r="O52" i="13"/>
  <c r="O54" i="13" s="1"/>
  <c r="D25" i="53"/>
  <c r="H24" i="46"/>
  <c r="M24" i="46" s="1"/>
  <c r="O24" i="46" s="1"/>
  <c r="H24" i="45"/>
  <c r="M24" i="45" s="1"/>
  <c r="O24" i="45" s="1"/>
  <c r="M22" i="55"/>
  <c r="D23" i="55"/>
  <c r="K11" i="79"/>
  <c r="E19" i="56"/>
  <c r="N18" i="56"/>
  <c r="L15" i="113"/>
  <c r="L17" i="113" s="1"/>
  <c r="K15" i="113"/>
  <c r="K17" i="113" s="1"/>
  <c r="J15" i="113"/>
  <c r="J11" i="113"/>
  <c r="J17" i="118"/>
  <c r="L21" i="118"/>
  <c r="L23" i="118" s="1"/>
  <c r="K21" i="118"/>
  <c r="K23" i="118" s="1"/>
  <c r="J21" i="118"/>
  <c r="L17" i="61"/>
  <c r="E18" i="53"/>
  <c r="M17" i="53"/>
  <c r="M28" i="24"/>
  <c r="O28" i="24" s="1"/>
  <c r="D29" i="24"/>
  <c r="N5" i="35"/>
  <c r="L7" i="35"/>
  <c r="N7" i="35" s="1"/>
  <c r="J10" i="11"/>
  <c r="F10" i="11"/>
  <c r="D12" i="11" s="1"/>
  <c r="F12" i="11" s="1"/>
  <c r="D14" i="11" s="1"/>
  <c r="F14" i="11" s="1"/>
  <c r="D16" i="11" s="1"/>
  <c r="F16" i="11" s="1"/>
  <c r="D18" i="11" s="1"/>
  <c r="F18" i="11" s="1"/>
  <c r="D20" i="11" s="1"/>
  <c r="F20" i="11" s="1"/>
  <c r="D22" i="11" s="1"/>
  <c r="F22" i="11" s="1"/>
  <c r="D24" i="11" s="1"/>
  <c r="F24" i="11" s="1"/>
  <c r="D26" i="11" s="1"/>
  <c r="F26" i="11" s="1"/>
  <c r="L15" i="5"/>
  <c r="L17" i="5" s="1"/>
  <c r="L14" i="5"/>
  <c r="D4" i="27"/>
  <c r="H3" i="27"/>
  <c r="I21" i="2"/>
  <c r="K21" i="2" s="1"/>
  <c r="C22" i="2"/>
  <c r="D22" i="54"/>
  <c r="D20" i="51"/>
  <c r="N19" i="51"/>
  <c r="M18" i="54"/>
  <c r="E19" i="54"/>
  <c r="M28" i="23"/>
  <c r="O28" i="23" s="1"/>
  <c r="D29" i="23"/>
  <c r="N18" i="51"/>
  <c r="O54" i="43"/>
  <c r="L7" i="38"/>
  <c r="N7" i="38" s="1"/>
  <c r="N5" i="38"/>
  <c r="M22" i="11"/>
  <c r="M28" i="11"/>
  <c r="M24" i="11"/>
  <c r="M18" i="11"/>
  <c r="M16" i="11"/>
  <c r="M12" i="11"/>
  <c r="M10" i="11"/>
  <c r="E26" i="11"/>
  <c r="E24" i="11"/>
  <c r="E22" i="11"/>
  <c r="E20" i="11"/>
  <c r="E18" i="11"/>
  <c r="E16" i="11"/>
  <c r="E14" i="11"/>
  <c r="E12" i="11"/>
  <c r="E10" i="11"/>
  <c r="M26" i="11"/>
  <c r="M14" i="11"/>
  <c r="M20" i="11"/>
  <c r="D23" i="50"/>
  <c r="F28" i="119" l="1"/>
  <c r="A29" i="119" s="1"/>
  <c r="D23" i="54"/>
  <c r="I17" i="31"/>
  <c r="G21" i="31"/>
  <c r="D21" i="51"/>
  <c r="N20" i="51"/>
  <c r="D24" i="50"/>
  <c r="M29" i="23"/>
  <c r="O29" i="23" s="1"/>
  <c r="D30" i="23"/>
  <c r="N19" i="56"/>
  <c r="E20" i="56"/>
  <c r="D26" i="57"/>
  <c r="E19" i="58"/>
  <c r="N18" i="58"/>
  <c r="I22" i="2"/>
  <c r="K22" i="2" s="1"/>
  <c r="C23" i="2"/>
  <c r="M29" i="25"/>
  <c r="O29" i="25" s="1"/>
  <c r="D30" i="25"/>
  <c r="M29" i="26"/>
  <c r="O29" i="26" s="1"/>
  <c r="D30" i="26"/>
  <c r="L10" i="106"/>
  <c r="N10" i="106" s="1"/>
  <c r="J12" i="106" s="1"/>
  <c r="K10" i="106"/>
  <c r="E38" i="67"/>
  <c r="M38" i="67" s="1"/>
  <c r="M37" i="67"/>
  <c r="D20" i="114"/>
  <c r="N19" i="114"/>
  <c r="K27" i="118"/>
  <c r="K29" i="118" s="1"/>
  <c r="J27" i="118"/>
  <c r="J23" i="118"/>
  <c r="L27" i="118"/>
  <c r="L29" i="118" s="1"/>
  <c r="D26" i="53"/>
  <c r="D23" i="56"/>
  <c r="E21" i="57"/>
  <c r="N20" i="57"/>
  <c r="H25" i="46"/>
  <c r="M25" i="46" s="1"/>
  <c r="O25" i="46" s="1"/>
  <c r="H25" i="45"/>
  <c r="M25" i="45" s="1"/>
  <c r="O25" i="45" s="1"/>
  <c r="M19" i="54"/>
  <c r="E20" i="54"/>
  <c r="M29" i="24"/>
  <c r="O29" i="24" s="1"/>
  <c r="D30" i="24"/>
  <c r="D24" i="55"/>
  <c r="M23" i="55"/>
  <c r="D5" i="27"/>
  <c r="H4" i="27"/>
  <c r="E37" i="66"/>
  <c r="M36" i="66"/>
  <c r="L11" i="83"/>
  <c r="L13" i="83" s="1"/>
  <c r="N34" i="98"/>
  <c r="D35" i="98"/>
  <c r="J21" i="63"/>
  <c r="J23" i="63" s="1"/>
  <c r="J17" i="63"/>
  <c r="L21" i="63"/>
  <c r="L23" i="63" s="1"/>
  <c r="K21" i="63"/>
  <c r="K23" i="63" s="1"/>
  <c r="L21" i="77"/>
  <c r="L23" i="77" s="1"/>
  <c r="J17" i="77"/>
  <c r="K21" i="77"/>
  <c r="K23" i="77" s="1"/>
  <c r="J21" i="77"/>
  <c r="J23" i="77" s="1"/>
  <c r="J21" i="126"/>
  <c r="J23" i="126" s="1"/>
  <c r="J17" i="126"/>
  <c r="L21" i="126"/>
  <c r="L23" i="126" s="1"/>
  <c r="K21" i="126"/>
  <c r="K23" i="126" s="1"/>
  <c r="K7" i="10"/>
  <c r="D9" i="10" s="1"/>
  <c r="L18" i="5"/>
  <c r="L19" i="5"/>
  <c r="L21" i="5" s="1"/>
  <c r="M18" i="53"/>
  <c r="E19" i="53"/>
  <c r="E20" i="50"/>
  <c r="N19" i="50"/>
  <c r="K10" i="11"/>
  <c r="L10" i="11"/>
  <c r="N10" i="11" s="1"/>
  <c r="J12" i="11" s="1"/>
  <c r="J17" i="113"/>
  <c r="K21" i="113"/>
  <c r="K23" i="113" s="1"/>
  <c r="J21" i="113"/>
  <c r="J23" i="113" s="1"/>
  <c r="L21" i="113"/>
  <c r="L23" i="113" s="1"/>
  <c r="D24" i="58"/>
  <c r="D31" i="26" l="1"/>
  <c r="M30" i="26"/>
  <c r="O30" i="26" s="1"/>
  <c r="L33" i="118"/>
  <c r="L35" i="118" s="1"/>
  <c r="K33" i="118"/>
  <c r="K35" i="118" s="1"/>
  <c r="J29" i="118"/>
  <c r="J33" i="118"/>
  <c r="J35" i="118" s="1"/>
  <c r="L14" i="83"/>
  <c r="E21" i="54"/>
  <c r="M20" i="54"/>
  <c r="D24" i="56"/>
  <c r="D31" i="25"/>
  <c r="M30" i="25"/>
  <c r="O30" i="25" s="1"/>
  <c r="E21" i="56"/>
  <c r="N20" i="56"/>
  <c r="I21" i="31"/>
  <c r="G25" i="31"/>
  <c r="I25" i="31" s="1"/>
  <c r="M37" i="66"/>
  <c r="E38" i="66"/>
  <c r="M38" i="66" s="1"/>
  <c r="N20" i="114"/>
  <c r="D21" i="114"/>
  <c r="L23" i="5"/>
  <c r="L22" i="5"/>
  <c r="K26" i="5" s="1"/>
  <c r="C24" i="2"/>
  <c r="I23" i="2"/>
  <c r="K23" i="2" s="1"/>
  <c r="M30" i="23"/>
  <c r="O30" i="23" s="1"/>
  <c r="D31" i="23"/>
  <c r="D27" i="57"/>
  <c r="K12" i="11"/>
  <c r="L12" i="11" s="1"/>
  <c r="N12" i="11" s="1"/>
  <c r="J14" i="11" s="1"/>
  <c r="D25" i="58"/>
  <c r="E21" i="50"/>
  <c r="N20" i="50"/>
  <c r="D6" i="27"/>
  <c r="H5" i="27"/>
  <c r="D24" i="54"/>
  <c r="M30" i="24"/>
  <c r="O30" i="24" s="1"/>
  <c r="D31" i="24"/>
  <c r="E22" i="57"/>
  <c r="N21" i="57"/>
  <c r="N21" i="51"/>
  <c r="D22" i="51"/>
  <c r="G9" i="10"/>
  <c r="I9" i="10" s="1"/>
  <c r="F9" i="10"/>
  <c r="D27" i="53"/>
  <c r="M19" i="53"/>
  <c r="E20" i="53"/>
  <c r="C29" i="119"/>
  <c r="B29" i="119"/>
  <c r="D36" i="98"/>
  <c r="N35" i="98"/>
  <c r="D25" i="55"/>
  <c r="M24" i="55"/>
  <c r="L12" i="106"/>
  <c r="N12" i="106" s="1"/>
  <c r="J14" i="106" s="1"/>
  <c r="K12" i="106"/>
  <c r="E20" i="58"/>
  <c r="N19" i="58"/>
  <c r="D25" i="50"/>
  <c r="K14" i="11" l="1"/>
  <c r="L14" i="11"/>
  <c r="N14" i="11" s="1"/>
  <c r="J16" i="11" s="1"/>
  <c r="E22" i="56"/>
  <c r="N21" i="56"/>
  <c r="N22" i="51"/>
  <c r="D23" i="51"/>
  <c r="D28" i="57"/>
  <c r="N21" i="114"/>
  <c r="D22" i="114"/>
  <c r="K14" i="106"/>
  <c r="L14" i="106" s="1"/>
  <c r="N14" i="106" s="1"/>
  <c r="J16" i="106" s="1"/>
  <c r="H26" i="46"/>
  <c r="M26" i="46" s="1"/>
  <c r="O26" i="46" s="1"/>
  <c r="H26" i="45"/>
  <c r="M26" i="45" s="1"/>
  <c r="O26" i="45" s="1"/>
  <c r="D7" i="27"/>
  <c r="H6" i="27"/>
  <c r="M31" i="23"/>
  <c r="D32" i="23"/>
  <c r="D25" i="56"/>
  <c r="D37" i="98"/>
  <c r="N36" i="98"/>
  <c r="D28" i="53"/>
  <c r="E23" i="57"/>
  <c r="N22" i="57"/>
  <c r="E22" i="50"/>
  <c r="N21" i="50"/>
  <c r="D25" i="54"/>
  <c r="M25" i="55"/>
  <c r="D26" i="55"/>
  <c r="D26" i="58"/>
  <c r="D29" i="119"/>
  <c r="K9" i="10"/>
  <c r="D11" i="10" s="1"/>
  <c r="I24" i="2"/>
  <c r="K24" i="2" s="1"/>
  <c r="C25" i="2"/>
  <c r="E22" i="54"/>
  <c r="M21" i="54"/>
  <c r="M31" i="26"/>
  <c r="O31" i="26" s="1"/>
  <c r="D32" i="26"/>
  <c r="E21" i="53"/>
  <c r="M20" i="53"/>
  <c r="M31" i="25"/>
  <c r="O31" i="25" s="1"/>
  <c r="D32" i="25"/>
  <c r="D26" i="50"/>
  <c r="M31" i="24"/>
  <c r="O31" i="24" s="1"/>
  <c r="D32" i="24"/>
  <c r="E21" i="58"/>
  <c r="N20" i="58"/>
  <c r="L15" i="83"/>
  <c r="L17" i="83" s="1"/>
  <c r="K16" i="106" l="1"/>
  <c r="L16" i="106" s="1"/>
  <c r="N16" i="106" s="1"/>
  <c r="J18" i="106" s="1"/>
  <c r="H7" i="27"/>
  <c r="D8" i="27"/>
  <c r="F29" i="119"/>
  <c r="A30" i="119" s="1"/>
  <c r="D33" i="24"/>
  <c r="M32" i="24"/>
  <c r="O32" i="24" s="1"/>
  <c r="D26" i="56"/>
  <c r="D33" i="25"/>
  <c r="M32" i="25"/>
  <c r="O32" i="25" s="1"/>
  <c r="C26" i="2"/>
  <c r="I25" i="2"/>
  <c r="K25" i="2" s="1"/>
  <c r="D24" i="51"/>
  <c r="N23" i="51"/>
  <c r="E22" i="53"/>
  <c r="M21" i="53"/>
  <c r="E24" i="57"/>
  <c r="N23" i="57"/>
  <c r="D33" i="23"/>
  <c r="M32" i="23"/>
  <c r="O32" i="23" s="1"/>
  <c r="D23" i="114"/>
  <c r="N22" i="114"/>
  <c r="E23" i="56"/>
  <c r="N22" i="56"/>
  <c r="G11" i="10"/>
  <c r="I11" i="10" s="1"/>
  <c r="F11" i="10"/>
  <c r="K11" i="10"/>
  <c r="D13" i="10" s="1"/>
  <c r="D33" i="26"/>
  <c r="M32" i="26"/>
  <c r="O32" i="26" s="1"/>
  <c r="D27" i="58"/>
  <c r="K16" i="11"/>
  <c r="L16" i="11"/>
  <c r="N16" i="11" s="1"/>
  <c r="J18" i="11" s="1"/>
  <c r="D26" i="54"/>
  <c r="L19" i="83"/>
  <c r="L21" i="83" s="1"/>
  <c r="L18" i="83"/>
  <c r="D38" i="98"/>
  <c r="N38" i="98" s="1"/>
  <c r="N37" i="98"/>
  <c r="E22" i="58"/>
  <c r="N21" i="58"/>
  <c r="E23" i="50"/>
  <c r="N22" i="50"/>
  <c r="D27" i="50"/>
  <c r="M26" i="55"/>
  <c r="D27" i="55"/>
  <c r="K20" i="52"/>
  <c r="K20" i="47"/>
  <c r="K20" i="49"/>
  <c r="J16" i="47"/>
  <c r="J17" i="47" s="1"/>
  <c r="K20" i="39"/>
  <c r="J16" i="52"/>
  <c r="J16" i="42"/>
  <c r="J17" i="42" s="1"/>
  <c r="J16" i="49"/>
  <c r="J17" i="49" s="1"/>
  <c r="K20" i="42"/>
  <c r="J16" i="34"/>
  <c r="J17" i="34" s="1"/>
  <c r="K20" i="22"/>
  <c r="J16" i="20"/>
  <c r="J17" i="20" s="1"/>
  <c r="J16" i="22"/>
  <c r="J17" i="22" s="1"/>
  <c r="J16" i="39"/>
  <c r="J17" i="39" s="1"/>
  <c r="K20" i="20"/>
  <c r="K20" i="34"/>
  <c r="O31" i="23"/>
  <c r="E23" i="54"/>
  <c r="M22" i="54"/>
  <c r="D29" i="53"/>
  <c r="D29" i="57"/>
  <c r="K18" i="106" l="1"/>
  <c r="L18" i="106" s="1"/>
  <c r="N18" i="106" s="1"/>
  <c r="J20" i="106" s="1"/>
  <c r="D30" i="57"/>
  <c r="J16" i="61"/>
  <c r="J8" i="59"/>
  <c r="J9" i="59" s="1"/>
  <c r="J8" i="60"/>
  <c r="J9" i="60" s="1"/>
  <c r="J16" i="4"/>
  <c r="J17" i="52"/>
  <c r="D24" i="114"/>
  <c r="N23" i="114"/>
  <c r="D25" i="51"/>
  <c r="N24" i="51"/>
  <c r="D34" i="24"/>
  <c r="M33" i="24"/>
  <c r="O33" i="24" s="1"/>
  <c r="D28" i="58"/>
  <c r="D30" i="53"/>
  <c r="D27" i="54"/>
  <c r="E24" i="50"/>
  <c r="N23" i="50"/>
  <c r="D9" i="27"/>
  <c r="H8" i="27"/>
  <c r="N27" i="50"/>
  <c r="D28" i="50"/>
  <c r="C27" i="2"/>
  <c r="I26" i="2"/>
  <c r="K26" i="2" s="1"/>
  <c r="E24" i="54"/>
  <c r="M23" i="54"/>
  <c r="H27" i="45"/>
  <c r="M27" i="45" s="1"/>
  <c r="O27" i="45" s="1"/>
  <c r="H27" i="46"/>
  <c r="M27" i="46" s="1"/>
  <c r="O27" i="46" s="1"/>
  <c r="E25" i="57"/>
  <c r="N24" i="57"/>
  <c r="D34" i="25"/>
  <c r="M33" i="25"/>
  <c r="O33" i="25" s="1"/>
  <c r="L22" i="83"/>
  <c r="L23" i="83"/>
  <c r="L25" i="83" s="1"/>
  <c r="D34" i="26"/>
  <c r="M33" i="26"/>
  <c r="O33" i="26" s="1"/>
  <c r="F13" i="10"/>
  <c r="G13" i="10" s="1"/>
  <c r="I13" i="10" s="1"/>
  <c r="K18" i="11"/>
  <c r="L18" i="11" s="1"/>
  <c r="N18" i="11" s="1"/>
  <c r="J20" i="11" s="1"/>
  <c r="E23" i="58"/>
  <c r="N22" i="58"/>
  <c r="C30" i="119"/>
  <c r="D30" i="119" s="1"/>
  <c r="B30" i="119"/>
  <c r="D34" i="23"/>
  <c r="M33" i="23"/>
  <c r="O33" i="23" s="1"/>
  <c r="K12" i="60"/>
  <c r="K12" i="59"/>
  <c r="D28" i="55"/>
  <c r="M27" i="55"/>
  <c r="E24" i="56"/>
  <c r="N23" i="56"/>
  <c r="E23" i="53"/>
  <c r="M22" i="53"/>
  <c r="D27" i="56"/>
  <c r="K20" i="11" l="1"/>
  <c r="L20" i="11"/>
  <c r="N20" i="11" s="1"/>
  <c r="J22" i="11" s="1"/>
  <c r="H28" i="46"/>
  <c r="M28" i="46" s="1"/>
  <c r="O28" i="46" s="1"/>
  <c r="H28" i="45"/>
  <c r="M28" i="45" s="1"/>
  <c r="O28" i="45" s="1"/>
  <c r="K13" i="10"/>
  <c r="D15" i="10" s="1"/>
  <c r="F30" i="119"/>
  <c r="A31" i="119" s="1"/>
  <c r="K30" i="83"/>
  <c r="K20" i="106"/>
  <c r="L20" i="106" s="1"/>
  <c r="N20" i="106" s="1"/>
  <c r="J22" i="106" s="1"/>
  <c r="E24" i="58"/>
  <c r="N23" i="58"/>
  <c r="K20" i="4"/>
  <c r="J17" i="4"/>
  <c r="E24" i="53"/>
  <c r="M23" i="53"/>
  <c r="M34" i="23"/>
  <c r="O34" i="23" s="1"/>
  <c r="D35" i="23"/>
  <c r="E25" i="54"/>
  <c r="M24" i="54"/>
  <c r="E25" i="50"/>
  <c r="N24" i="50"/>
  <c r="M34" i="24"/>
  <c r="O34" i="24" s="1"/>
  <c r="D35" i="24"/>
  <c r="N25" i="51"/>
  <c r="D26" i="51"/>
  <c r="K20" i="61"/>
  <c r="J17" i="61"/>
  <c r="L26" i="83"/>
  <c r="L27" i="83" s="1"/>
  <c r="E25" i="56"/>
  <c r="N24" i="56"/>
  <c r="I27" i="2"/>
  <c r="K27" i="2" s="1"/>
  <c r="C28" i="2"/>
  <c r="N28" i="50"/>
  <c r="D29" i="50"/>
  <c r="D31" i="53"/>
  <c r="M34" i="25"/>
  <c r="O34" i="25" s="1"/>
  <c r="D35" i="25"/>
  <c r="E26" i="57"/>
  <c r="N25" i="57"/>
  <c r="N24" i="114"/>
  <c r="D25" i="114"/>
  <c r="D31" i="57"/>
  <c r="D29" i="55"/>
  <c r="M28" i="55"/>
  <c r="D28" i="56"/>
  <c r="D28" i="54"/>
  <c r="M34" i="26"/>
  <c r="O34" i="26" s="1"/>
  <c r="D35" i="26"/>
  <c r="H9" i="27"/>
  <c r="D10" i="27"/>
  <c r="D29" i="58"/>
  <c r="K22" i="106" l="1"/>
  <c r="L22" i="106" s="1"/>
  <c r="N22" i="106" s="1"/>
  <c r="J24" i="106" s="1"/>
  <c r="M29" i="55"/>
  <c r="D30" i="55"/>
  <c r="E26" i="56"/>
  <c r="N25" i="56"/>
  <c r="E25" i="53"/>
  <c r="M24" i="53"/>
  <c r="C31" i="119"/>
  <c r="D31" i="119" s="1"/>
  <c r="B31" i="119"/>
  <c r="F15" i="10"/>
  <c r="G15" i="10" s="1"/>
  <c r="I15" i="10" s="1"/>
  <c r="D30" i="50"/>
  <c r="N29" i="50"/>
  <c r="M35" i="24"/>
  <c r="O35" i="24" s="1"/>
  <c r="D36" i="24"/>
  <c r="D32" i="57"/>
  <c r="E26" i="50"/>
  <c r="N26" i="50" s="1"/>
  <c r="N25" i="50"/>
  <c r="D29" i="54"/>
  <c r="D30" i="58"/>
  <c r="E26" i="54"/>
  <c r="M25" i="54"/>
  <c r="E25" i="58"/>
  <c r="N24" i="58"/>
  <c r="M35" i="25"/>
  <c r="O35" i="25" s="1"/>
  <c r="D36" i="25"/>
  <c r="M35" i="26"/>
  <c r="O35" i="26" s="1"/>
  <c r="D36" i="26"/>
  <c r="D32" i="53"/>
  <c r="N25" i="114"/>
  <c r="D26" i="114"/>
  <c r="D29" i="56"/>
  <c r="C29" i="2"/>
  <c r="I28" i="2"/>
  <c r="K28" i="2" s="1"/>
  <c r="N26" i="51"/>
  <c r="D27" i="51"/>
  <c r="K22" i="11"/>
  <c r="L22" i="11"/>
  <c r="N22" i="11" s="1"/>
  <c r="J24" i="11" s="1"/>
  <c r="M35" i="23"/>
  <c r="D36" i="23"/>
  <c r="D11" i="27"/>
  <c r="H10" i="27"/>
  <c r="E27" i="57"/>
  <c r="N26" i="57"/>
  <c r="F31" i="119" l="1"/>
  <c r="A32" i="119" s="1"/>
  <c r="H29" i="46"/>
  <c r="M29" i="46" s="1"/>
  <c r="O29" i="46" s="1"/>
  <c r="H29" i="45"/>
  <c r="M29" i="45" s="1"/>
  <c r="O29" i="45" s="1"/>
  <c r="K15" i="10"/>
  <c r="D17" i="10" s="1"/>
  <c r="L24" i="106"/>
  <c r="N24" i="106" s="1"/>
  <c r="J26" i="106" s="1"/>
  <c r="K24" i="106"/>
  <c r="E26" i="58"/>
  <c r="N25" i="58"/>
  <c r="E26" i="53"/>
  <c r="M25" i="53"/>
  <c r="E27" i="56"/>
  <c r="N26" i="56"/>
  <c r="D27" i="114"/>
  <c r="N26" i="114"/>
  <c r="D33" i="57"/>
  <c r="M30" i="55"/>
  <c r="D31" i="55"/>
  <c r="E28" i="57"/>
  <c r="N27" i="57"/>
  <c r="M36" i="24"/>
  <c r="O36" i="24" s="1"/>
  <c r="D37" i="24"/>
  <c r="D12" i="27"/>
  <c r="D13" i="27" s="1"/>
  <c r="D14" i="27" s="1"/>
  <c r="D15" i="27" s="1"/>
  <c r="D16" i="27" s="1"/>
  <c r="D17" i="27" s="1"/>
  <c r="D18" i="27" s="1"/>
  <c r="D19" i="27" s="1"/>
  <c r="D20" i="27" s="1"/>
  <c r="D21" i="27" s="1"/>
  <c r="F2" i="27" s="1"/>
  <c r="F3" i="27" s="1"/>
  <c r="F4" i="27" s="1"/>
  <c r="F5" i="27" s="1"/>
  <c r="F6" i="27" s="1"/>
  <c r="F7" i="27" s="1"/>
  <c r="F8" i="27" s="1"/>
  <c r="F9" i="27" s="1"/>
  <c r="F10" i="27" s="1"/>
  <c r="F11" i="27" s="1"/>
  <c r="F12" i="27" s="1"/>
  <c r="F13" i="27" s="1"/>
  <c r="F14" i="27" s="1"/>
  <c r="F15" i="27" s="1"/>
  <c r="F16" i="27" s="1"/>
  <c r="F17" i="27" s="1"/>
  <c r="F18" i="27" s="1"/>
  <c r="F19" i="27" s="1"/>
  <c r="F20" i="27" s="1"/>
  <c r="F21" i="27" s="1"/>
  <c r="H11" i="27"/>
  <c r="H12" i="27" s="1"/>
  <c r="H13" i="27" s="1"/>
  <c r="H14" i="27" s="1"/>
  <c r="H15" i="27" s="1"/>
  <c r="H16" i="27" s="1"/>
  <c r="H17" i="27" s="1"/>
  <c r="H18" i="27" s="1"/>
  <c r="H19" i="27" s="1"/>
  <c r="H20" i="27" s="1"/>
  <c r="H21" i="27" s="1"/>
  <c r="D31" i="58"/>
  <c r="D30" i="54"/>
  <c r="K24" i="11"/>
  <c r="L24" i="11" s="1"/>
  <c r="N24" i="11" s="1"/>
  <c r="J26" i="11" s="1"/>
  <c r="D28" i="51"/>
  <c r="N27" i="51"/>
  <c r="D33" i="53"/>
  <c r="E27" i="54"/>
  <c r="M26" i="54"/>
  <c r="M36" i="26"/>
  <c r="O36" i="26" s="1"/>
  <c r="D37" i="26"/>
  <c r="I29" i="2"/>
  <c r="K29" i="2" s="1"/>
  <c r="C30" i="2"/>
  <c r="M36" i="23"/>
  <c r="O36" i="23" s="1"/>
  <c r="D37" i="23"/>
  <c r="M36" i="25"/>
  <c r="O36" i="25" s="1"/>
  <c r="D37" i="25"/>
  <c r="C7" i="35"/>
  <c r="G7" i="35" s="1"/>
  <c r="C7" i="12"/>
  <c r="G7" i="12" s="1"/>
  <c r="C7" i="38"/>
  <c r="O35" i="23"/>
  <c r="D30" i="56"/>
  <c r="D31" i="50"/>
  <c r="N30" i="50"/>
  <c r="K26" i="11" l="1"/>
  <c r="L26" i="11"/>
  <c r="N26" i="11" s="1"/>
  <c r="J28" i="11" s="1"/>
  <c r="I30" i="2"/>
  <c r="K30" i="2" s="1"/>
  <c r="C31" i="2"/>
  <c r="M37" i="26"/>
  <c r="O37" i="26" s="1"/>
  <c r="D38" i="26"/>
  <c r="M37" i="24"/>
  <c r="O37" i="24" s="1"/>
  <c r="D38" i="24"/>
  <c r="F17" i="10"/>
  <c r="G17" i="10" s="1"/>
  <c r="I17" i="10" s="1"/>
  <c r="E27" i="58"/>
  <c r="N26" i="58"/>
  <c r="L26" i="106"/>
  <c r="N26" i="106" s="1"/>
  <c r="K26" i="106"/>
  <c r="M37" i="25"/>
  <c r="O37" i="25" s="1"/>
  <c r="D38" i="25"/>
  <c r="D31" i="54"/>
  <c r="N31" i="50"/>
  <c r="D32" i="50"/>
  <c r="E28" i="56"/>
  <c r="N27" i="56"/>
  <c r="D32" i="55"/>
  <c r="M31" i="55"/>
  <c r="C7" i="41"/>
  <c r="G7" i="41" s="1"/>
  <c r="G7" i="38"/>
  <c r="D29" i="51"/>
  <c r="N28" i="51"/>
  <c r="D34" i="57"/>
  <c r="D28" i="114"/>
  <c r="N27" i="114"/>
  <c r="E28" i="54"/>
  <c r="M27" i="54"/>
  <c r="E29" i="57"/>
  <c r="N28" i="57"/>
  <c r="M37" i="23"/>
  <c r="O37" i="23" s="1"/>
  <c r="D38" i="23"/>
  <c r="D31" i="56"/>
  <c r="D34" i="53"/>
  <c r="D32" i="58"/>
  <c r="E27" i="53"/>
  <c r="M26" i="53"/>
  <c r="C32" i="119"/>
  <c r="D32" i="119" s="1"/>
  <c r="F32" i="119" s="1"/>
  <c r="A33" i="119" s="1"/>
  <c r="B32" i="119"/>
  <c r="C33" i="119" l="1"/>
  <c r="D33" i="119" s="1"/>
  <c r="F33" i="119" s="1"/>
  <c r="A34" i="119" s="1"/>
  <c r="B33" i="119"/>
  <c r="H30" i="46"/>
  <c r="M30" i="46" s="1"/>
  <c r="O30" i="46" s="1"/>
  <c r="H30" i="45"/>
  <c r="M30" i="45" s="1"/>
  <c r="O30" i="45" s="1"/>
  <c r="K17" i="10"/>
  <c r="D19" i="10" s="1"/>
  <c r="N28" i="114"/>
  <c r="D29" i="114"/>
  <c r="D33" i="55"/>
  <c r="M32" i="55"/>
  <c r="D39" i="24"/>
  <c r="M38" i="24"/>
  <c r="O38" i="24" s="1"/>
  <c r="M38" i="23"/>
  <c r="O38" i="23" s="1"/>
  <c r="D39" i="23"/>
  <c r="E30" i="57"/>
  <c r="N29" i="57"/>
  <c r="E28" i="58"/>
  <c r="N27" i="58"/>
  <c r="E28" i="53"/>
  <c r="M27" i="53"/>
  <c r="N34" i="57"/>
  <c r="D35" i="57"/>
  <c r="E29" i="56"/>
  <c r="N28" i="56"/>
  <c r="D39" i="26"/>
  <c r="M38" i="26"/>
  <c r="O38" i="26" s="1"/>
  <c r="D33" i="58"/>
  <c r="C32" i="2"/>
  <c r="I31" i="2"/>
  <c r="K31" i="2" s="1"/>
  <c r="K28" i="11"/>
  <c r="L28" i="11" s="1"/>
  <c r="N28" i="11" s="1"/>
  <c r="N32" i="50"/>
  <c r="D33" i="50"/>
  <c r="N29" i="51"/>
  <c r="D30" i="51"/>
  <c r="D35" i="53"/>
  <c r="E29" i="54"/>
  <c r="M28" i="54"/>
  <c r="D32" i="54"/>
  <c r="D32" i="56"/>
  <c r="D39" i="25"/>
  <c r="M38" i="25"/>
  <c r="O38" i="25" s="1"/>
  <c r="B34" i="119" l="1"/>
  <c r="C34" i="119"/>
  <c r="D34" i="119" s="1"/>
  <c r="F34" i="119" s="1"/>
  <c r="A35" i="119" s="1"/>
  <c r="F19" i="10"/>
  <c r="G19" i="10"/>
  <c r="I19" i="10" s="1"/>
  <c r="D34" i="50"/>
  <c r="N33" i="50"/>
  <c r="M39" i="23"/>
  <c r="O39" i="23" s="1"/>
  <c r="D40" i="23"/>
  <c r="I32" i="2"/>
  <c r="K32" i="2" s="1"/>
  <c r="C33" i="2"/>
  <c r="E29" i="53"/>
  <c r="M28" i="53"/>
  <c r="E29" i="58"/>
  <c r="N28" i="58"/>
  <c r="D36" i="53"/>
  <c r="D36" i="57"/>
  <c r="N35" i="57"/>
  <c r="M39" i="25"/>
  <c r="O39" i="25" s="1"/>
  <c r="D40" i="25"/>
  <c r="D34" i="58"/>
  <c r="N29" i="114"/>
  <c r="D30" i="114"/>
  <c r="D33" i="56"/>
  <c r="N30" i="51"/>
  <c r="D31" i="51"/>
  <c r="M39" i="24"/>
  <c r="O39" i="24" s="1"/>
  <c r="D40" i="24"/>
  <c r="D33" i="54"/>
  <c r="M39" i="26"/>
  <c r="O39" i="26" s="1"/>
  <c r="D40" i="26"/>
  <c r="M33" i="55"/>
  <c r="D34" i="55"/>
  <c r="E30" i="54"/>
  <c r="M29" i="54"/>
  <c r="E30" i="56"/>
  <c r="N29" i="56"/>
  <c r="E31" i="57"/>
  <c r="N30" i="57"/>
  <c r="C35" i="119" l="1"/>
  <c r="D35" i="119" s="1"/>
  <c r="F35" i="119" s="1"/>
  <c r="A36" i="119" s="1"/>
  <c r="B35" i="119"/>
  <c r="D32" i="51"/>
  <c r="N31" i="51"/>
  <c r="H31" i="46"/>
  <c r="M31" i="46" s="1"/>
  <c r="O31" i="46" s="1"/>
  <c r="H31" i="45"/>
  <c r="M31" i="45" s="1"/>
  <c r="O31" i="45" s="1"/>
  <c r="K19" i="10"/>
  <c r="D21" i="10" s="1"/>
  <c r="E30" i="53"/>
  <c r="M29" i="53"/>
  <c r="D31" i="114"/>
  <c r="N30" i="114"/>
  <c r="E31" i="56"/>
  <c r="N30" i="56"/>
  <c r="D41" i="25"/>
  <c r="M40" i="25"/>
  <c r="O40" i="25" s="1"/>
  <c r="E32" i="57"/>
  <c r="N31" i="57"/>
  <c r="N36" i="57"/>
  <c r="D37" i="57"/>
  <c r="D34" i="54"/>
  <c r="D41" i="24"/>
  <c r="M40" i="24"/>
  <c r="O40" i="24" s="1"/>
  <c r="N34" i="58"/>
  <c r="D35" i="58"/>
  <c r="M34" i="55"/>
  <c r="D35" i="55"/>
  <c r="D41" i="26"/>
  <c r="M40" i="26"/>
  <c r="O40" i="26" s="1"/>
  <c r="C34" i="2"/>
  <c r="I33" i="2"/>
  <c r="K33" i="2" s="1"/>
  <c r="D34" i="56"/>
  <c r="D41" i="23"/>
  <c r="M40" i="23"/>
  <c r="O40" i="23" s="1"/>
  <c r="D37" i="53"/>
  <c r="E31" i="54"/>
  <c r="M30" i="54"/>
  <c r="E30" i="58"/>
  <c r="N29" i="58"/>
  <c r="D35" i="50"/>
  <c r="N34" i="50"/>
  <c r="B36" i="119" l="1"/>
  <c r="C36" i="119"/>
  <c r="D36" i="119" s="1"/>
  <c r="F36" i="119" s="1"/>
  <c r="A37" i="119" s="1"/>
  <c r="D42" i="23"/>
  <c r="M41" i="23"/>
  <c r="O41" i="23" s="1"/>
  <c r="E32" i="56"/>
  <c r="N31" i="56"/>
  <c r="D33" i="51"/>
  <c r="N32" i="51"/>
  <c r="N35" i="58"/>
  <c r="D36" i="58"/>
  <c r="E31" i="58"/>
  <c r="N30" i="58"/>
  <c r="E33" i="57"/>
  <c r="N33" i="57" s="1"/>
  <c r="N32" i="57"/>
  <c r="E31" i="53"/>
  <c r="M30" i="53"/>
  <c r="D38" i="53"/>
  <c r="D42" i="26"/>
  <c r="M41" i="26"/>
  <c r="O41" i="26" s="1"/>
  <c r="N37" i="57"/>
  <c r="D38" i="57"/>
  <c r="N38" i="57" s="1"/>
  <c r="N35" i="50"/>
  <c r="D36" i="50"/>
  <c r="D32" i="114"/>
  <c r="N31" i="114"/>
  <c r="D35" i="56"/>
  <c r="F21" i="10"/>
  <c r="G21" i="10" s="1"/>
  <c r="I21" i="10" s="1"/>
  <c r="D35" i="54"/>
  <c r="M34" i="54"/>
  <c r="D36" i="55"/>
  <c r="M35" i="55"/>
  <c r="E32" i="54"/>
  <c r="M31" i="54"/>
  <c r="C35" i="2"/>
  <c r="I34" i="2"/>
  <c r="K34" i="2" s="1"/>
  <c r="D42" i="24"/>
  <c r="M41" i="24"/>
  <c r="O41" i="24" s="1"/>
  <c r="D42" i="25"/>
  <c r="M41" i="25"/>
  <c r="O41" i="25" s="1"/>
  <c r="H32" i="46" l="1"/>
  <c r="M32" i="46" s="1"/>
  <c r="O32" i="46" s="1"/>
  <c r="H32" i="45"/>
  <c r="M32" i="45" s="1"/>
  <c r="O32" i="45" s="1"/>
  <c r="K21" i="10"/>
  <c r="D23" i="10" s="1"/>
  <c r="B37" i="119"/>
  <c r="C37" i="119"/>
  <c r="D37" i="119" s="1"/>
  <c r="F37" i="119" s="1"/>
  <c r="A38" i="119" s="1"/>
  <c r="E33" i="54"/>
  <c r="M33" i="54" s="1"/>
  <c r="M32" i="54"/>
  <c r="D37" i="55"/>
  <c r="M36" i="55"/>
  <c r="E32" i="58"/>
  <c r="N31" i="58"/>
  <c r="M42" i="23"/>
  <c r="O42" i="23" s="1"/>
  <c r="D43" i="23"/>
  <c r="D37" i="58"/>
  <c r="N36" i="58"/>
  <c r="N32" i="114"/>
  <c r="D33" i="114"/>
  <c r="M42" i="24"/>
  <c r="O42" i="24" s="1"/>
  <c r="D43" i="24"/>
  <c r="M35" i="54"/>
  <c r="D36" i="54"/>
  <c r="N36" i="50"/>
  <c r="D37" i="50"/>
  <c r="E33" i="56"/>
  <c r="N32" i="56"/>
  <c r="E32" i="53"/>
  <c r="M31" i="53"/>
  <c r="N33" i="51"/>
  <c r="D34" i="51"/>
  <c r="D36" i="56"/>
  <c r="M42" i="26"/>
  <c r="O42" i="26" s="1"/>
  <c r="D43" i="26"/>
  <c r="M42" i="25"/>
  <c r="O42" i="25" s="1"/>
  <c r="D43" i="25"/>
  <c r="I35" i="2"/>
  <c r="K35" i="2" s="1"/>
  <c r="C36" i="2"/>
  <c r="B38" i="119" l="1"/>
  <c r="C38" i="119"/>
  <c r="D38" i="119" s="1"/>
  <c r="F38" i="119" s="1"/>
  <c r="A39" i="119" s="1"/>
  <c r="M43" i="24"/>
  <c r="O43" i="24" s="1"/>
  <c r="D44" i="24"/>
  <c r="M44" i="24" s="1"/>
  <c r="O44" i="24" s="1"/>
  <c r="E33" i="58"/>
  <c r="N33" i="58" s="1"/>
  <c r="N32" i="58"/>
  <c r="M43" i="23"/>
  <c r="O43" i="23" s="1"/>
  <c r="D44" i="23"/>
  <c r="M44" i="23" s="1"/>
  <c r="M43" i="25"/>
  <c r="O43" i="25" s="1"/>
  <c r="D44" i="25"/>
  <c r="M44" i="25" s="1"/>
  <c r="O44" i="25" s="1"/>
  <c r="E33" i="53"/>
  <c r="M32" i="53"/>
  <c r="D38" i="55"/>
  <c r="M38" i="55" s="1"/>
  <c r="M37" i="55"/>
  <c r="F23" i="10"/>
  <c r="G23" i="10"/>
  <c r="I23" i="10" s="1"/>
  <c r="D37" i="56"/>
  <c r="D38" i="50"/>
  <c r="N38" i="50" s="1"/>
  <c r="N37" i="50"/>
  <c r="M36" i="54"/>
  <c r="D37" i="54"/>
  <c r="M43" i="26"/>
  <c r="O43" i="26" s="1"/>
  <c r="D44" i="26"/>
  <c r="M44" i="26" s="1"/>
  <c r="O44" i="26" s="1"/>
  <c r="N33" i="114"/>
  <c r="D34" i="114"/>
  <c r="E34" i="56"/>
  <c r="N33" i="56"/>
  <c r="C37" i="2"/>
  <c r="I36" i="2"/>
  <c r="K36" i="2" s="1"/>
  <c r="N34" i="51"/>
  <c r="D35" i="51"/>
  <c r="D38" i="58"/>
  <c r="N38" i="58" s="1"/>
  <c r="N37" i="58"/>
  <c r="F39" i="119" l="1"/>
  <c r="A40" i="119" s="1"/>
  <c r="D39" i="119"/>
  <c r="C39" i="119"/>
  <c r="B39" i="119"/>
  <c r="E35" i="56"/>
  <c r="N34" i="56"/>
  <c r="D35" i="114"/>
  <c r="N34" i="114"/>
  <c r="E34" i="53"/>
  <c r="M33" i="53"/>
  <c r="D36" i="51"/>
  <c r="N35" i="51"/>
  <c r="H33" i="46"/>
  <c r="M33" i="46" s="1"/>
  <c r="O33" i="46" s="1"/>
  <c r="H33" i="45"/>
  <c r="M33" i="45" s="1"/>
  <c r="O33" i="45" s="1"/>
  <c r="D38" i="56"/>
  <c r="C9" i="38"/>
  <c r="O44" i="23"/>
  <c r="C9" i="35"/>
  <c r="G9" i="35" s="1"/>
  <c r="K23" i="10"/>
  <c r="D25" i="10" s="1"/>
  <c r="D38" i="54"/>
  <c r="M38" i="54" s="1"/>
  <c r="M37" i="54"/>
  <c r="I37" i="2"/>
  <c r="K37" i="2" s="1"/>
  <c r="C38" i="2"/>
  <c r="I38" i="2" s="1"/>
  <c r="K38" i="2" s="1"/>
  <c r="D36" i="114" l="1"/>
  <c r="N35" i="114"/>
  <c r="D37" i="51"/>
  <c r="N36" i="51"/>
  <c r="E36" i="56"/>
  <c r="N35" i="56"/>
  <c r="G25" i="10"/>
  <c r="I25" i="10" s="1"/>
  <c r="F25" i="10"/>
  <c r="E35" i="53"/>
  <c r="M34" i="53"/>
  <c r="G9" i="38"/>
  <c r="C9" i="41"/>
  <c r="G9" i="41" s="1"/>
  <c r="C40" i="119"/>
  <c r="B40" i="119"/>
  <c r="D40" i="119"/>
  <c r="F40" i="119"/>
  <c r="A41" i="119" s="1"/>
  <c r="H34" i="46" l="1"/>
  <c r="M34" i="46" s="1"/>
  <c r="O34" i="46" s="1"/>
  <c r="H34" i="45"/>
  <c r="M34" i="45" s="1"/>
  <c r="O34" i="45" s="1"/>
  <c r="E37" i="56"/>
  <c r="N36" i="56"/>
  <c r="E36" i="53"/>
  <c r="M35" i="53"/>
  <c r="N37" i="51"/>
  <c r="D38" i="51"/>
  <c r="N38" i="51" s="1"/>
  <c r="F41" i="119"/>
  <c r="A42" i="119" s="1"/>
  <c r="D41" i="119"/>
  <c r="C41" i="119"/>
  <c r="B41" i="119"/>
  <c r="K25" i="10"/>
  <c r="D27" i="10" s="1"/>
  <c r="N36" i="114"/>
  <c r="D37" i="114"/>
  <c r="F27" i="10" l="1"/>
  <c r="G27" i="10" s="1"/>
  <c r="I27" i="10" s="1"/>
  <c r="E38" i="56"/>
  <c r="N38" i="56" s="1"/>
  <c r="N37" i="56"/>
  <c r="N37" i="114"/>
  <c r="D38" i="114"/>
  <c r="N38" i="114" s="1"/>
  <c r="E37" i="53"/>
  <c r="M36" i="53"/>
  <c r="D42" i="119"/>
  <c r="C42" i="119"/>
  <c r="B42" i="119"/>
  <c r="F42" i="119"/>
  <c r="A43" i="119" s="1"/>
  <c r="H35" i="46" l="1"/>
  <c r="M35" i="46" s="1"/>
  <c r="O35" i="46" s="1"/>
  <c r="H35" i="45"/>
  <c r="M35" i="45" s="1"/>
  <c r="O35" i="45" s="1"/>
  <c r="K27" i="10"/>
  <c r="D29" i="10" s="1"/>
  <c r="D43" i="119"/>
  <c r="C43" i="119"/>
  <c r="F43" i="119"/>
  <c r="A44" i="119" s="1"/>
  <c r="B43" i="119"/>
  <c r="E38" i="53"/>
  <c r="M38" i="53" s="1"/>
  <c r="M37" i="53"/>
  <c r="F29" i="10" l="1"/>
  <c r="G29" i="10" s="1"/>
  <c r="I29" i="10" s="1"/>
  <c r="D44" i="119"/>
  <c r="C44" i="119"/>
  <c r="B44" i="119"/>
  <c r="F44" i="119"/>
  <c r="A45" i="119" s="1"/>
  <c r="H36" i="46" l="1"/>
  <c r="M36" i="46" s="1"/>
  <c r="O36" i="46" s="1"/>
  <c r="H36" i="45"/>
  <c r="M36" i="45" s="1"/>
  <c r="O36" i="45" s="1"/>
  <c r="K29" i="10"/>
  <c r="D31" i="10" s="1"/>
  <c r="B45" i="119"/>
  <c r="F45" i="119"/>
  <c r="A46" i="119" s="1"/>
  <c r="D45" i="119"/>
  <c r="C45" i="119"/>
  <c r="F46" i="119" l="1"/>
  <c r="A47" i="119" s="1"/>
  <c r="D46" i="119"/>
  <c r="C46" i="119"/>
  <c r="B46" i="119"/>
  <c r="F31" i="10"/>
  <c r="G31" i="10" s="1"/>
  <c r="I31" i="10" s="1"/>
  <c r="H37" i="45" l="1"/>
  <c r="M37" i="45" s="1"/>
  <c r="O37" i="45" s="1"/>
  <c r="H37" i="46"/>
  <c r="M37" i="46" s="1"/>
  <c r="O37" i="46" s="1"/>
  <c r="K31" i="10"/>
  <c r="D33" i="10" s="1"/>
  <c r="F47" i="119"/>
  <c r="A48" i="119" s="1"/>
  <c r="D47" i="119"/>
  <c r="C47" i="119"/>
  <c r="B47" i="119"/>
  <c r="C48" i="119" l="1"/>
  <c r="B48" i="119"/>
  <c r="F48" i="119"/>
  <c r="A49" i="119" s="1"/>
  <c r="D48" i="119"/>
  <c r="F33" i="10"/>
  <c r="G33" i="10" s="1"/>
  <c r="I33" i="10" s="1"/>
  <c r="H38" i="46" l="1"/>
  <c r="M38" i="46" s="1"/>
  <c r="O38" i="46" s="1"/>
  <c r="H38" i="45"/>
  <c r="M38" i="45" s="1"/>
  <c r="O38" i="45" s="1"/>
  <c r="K33" i="10"/>
  <c r="D35" i="10" s="1"/>
  <c r="F49" i="119"/>
  <c r="A50" i="119" s="1"/>
  <c r="D49" i="119"/>
  <c r="C49" i="119"/>
  <c r="B49" i="119"/>
  <c r="F50" i="119" l="1"/>
  <c r="A51" i="119" s="1"/>
  <c r="D50" i="119"/>
  <c r="C50" i="119"/>
  <c r="B50" i="119"/>
  <c r="F35" i="10"/>
  <c r="G35" i="10"/>
  <c r="I35" i="10" s="1"/>
  <c r="H39" i="46" l="1"/>
  <c r="M39" i="46" s="1"/>
  <c r="O39" i="46" s="1"/>
  <c r="H39" i="45"/>
  <c r="M39" i="45" s="1"/>
  <c r="O39" i="45" s="1"/>
  <c r="K35" i="10"/>
  <c r="D37" i="10" s="1"/>
  <c r="D51" i="119"/>
  <c r="C51" i="119"/>
  <c r="F51" i="119"/>
  <c r="A52" i="119" s="1"/>
  <c r="B51" i="119"/>
  <c r="F37" i="10" l="1"/>
  <c r="G37" i="10" s="1"/>
  <c r="I37" i="10" s="1"/>
  <c r="F52" i="119"/>
  <c r="A53" i="119" s="1"/>
  <c r="D52" i="119"/>
  <c r="C52" i="119"/>
  <c r="B52" i="119"/>
  <c r="H40" i="46" l="1"/>
  <c r="M40" i="46" s="1"/>
  <c r="O40" i="46" s="1"/>
  <c r="H40" i="45"/>
  <c r="M40" i="45" s="1"/>
  <c r="O40" i="45" s="1"/>
  <c r="K37" i="10"/>
  <c r="D39" i="10" s="1"/>
  <c r="B53" i="119"/>
  <c r="C53" i="119"/>
  <c r="F53" i="119"/>
  <c r="A54" i="119" s="1"/>
  <c r="D53" i="119"/>
  <c r="F54" i="119" l="1"/>
  <c r="A55" i="119" s="1"/>
  <c r="D54" i="119"/>
  <c r="C54" i="119"/>
  <c r="B54" i="119"/>
  <c r="F39" i="10"/>
  <c r="G39" i="10"/>
  <c r="I39" i="10" s="1"/>
  <c r="H41" i="46" l="1"/>
  <c r="M41" i="46" s="1"/>
  <c r="O41" i="46" s="1"/>
  <c r="H41" i="45"/>
  <c r="M41" i="45" s="1"/>
  <c r="O41" i="45" s="1"/>
  <c r="K39" i="10"/>
  <c r="D41" i="10" s="1"/>
  <c r="C55" i="119"/>
  <c r="B55" i="119"/>
  <c r="F55" i="119"/>
  <c r="A56" i="119" s="1"/>
  <c r="D55" i="119"/>
  <c r="C56" i="119" l="1"/>
  <c r="B56" i="119"/>
  <c r="F56" i="119"/>
  <c r="A57" i="119" s="1"/>
  <c r="D56" i="119"/>
  <c r="F41" i="10"/>
  <c r="G41" i="10" s="1"/>
  <c r="I41" i="10" s="1"/>
  <c r="H42" i="46" l="1"/>
  <c r="M42" i="46" s="1"/>
  <c r="O42" i="46" s="1"/>
  <c r="H42" i="45"/>
  <c r="M42" i="45" s="1"/>
  <c r="O42" i="45" s="1"/>
  <c r="K41" i="10"/>
  <c r="D43" i="10" s="1"/>
  <c r="F57" i="119"/>
  <c r="A58" i="119" s="1"/>
  <c r="C57" i="119"/>
  <c r="B57" i="119"/>
  <c r="D57" i="119"/>
  <c r="F43" i="10" l="1"/>
  <c r="G43" i="10" s="1"/>
  <c r="I43" i="10" s="1"/>
  <c r="F58" i="119"/>
  <c r="A59" i="119" s="1"/>
  <c r="D58" i="119"/>
  <c r="C58" i="119"/>
  <c r="B58" i="119"/>
  <c r="H43" i="46" l="1"/>
  <c r="M43" i="46" s="1"/>
  <c r="O43" i="46" s="1"/>
  <c r="H43" i="45"/>
  <c r="M43" i="45" s="1"/>
  <c r="O43" i="45" s="1"/>
  <c r="K43" i="10"/>
  <c r="D45" i="10" s="1"/>
  <c r="D59" i="119"/>
  <c r="C59" i="119"/>
  <c r="F59" i="119"/>
  <c r="A60" i="119" s="1"/>
  <c r="B59" i="119"/>
  <c r="F60" i="119" l="1"/>
  <c r="A61" i="119" s="1"/>
  <c r="D60" i="119"/>
  <c r="C60" i="119"/>
  <c r="B60" i="119"/>
  <c r="F45" i="10"/>
  <c r="G45" i="10" s="1"/>
  <c r="I45" i="10" s="1"/>
  <c r="H49" i="45" l="1"/>
  <c r="M49" i="45" s="1"/>
  <c r="O49" i="45" s="1"/>
  <c r="H49" i="46"/>
  <c r="M49" i="46" s="1"/>
  <c r="O49" i="46" s="1"/>
  <c r="H44" i="46"/>
  <c r="M44" i="46" s="1"/>
  <c r="O44" i="46" s="1"/>
  <c r="H44" i="45"/>
  <c r="M44" i="45" s="1"/>
  <c r="O44" i="45" s="1"/>
  <c r="K45" i="10"/>
  <c r="D47" i="10" s="1"/>
  <c r="B61" i="119"/>
  <c r="F61" i="119"/>
  <c r="A62" i="119" s="1"/>
  <c r="D61" i="119"/>
  <c r="C61" i="119"/>
  <c r="F47" i="10" l="1"/>
  <c r="G47" i="10" s="1"/>
  <c r="I47" i="10" s="1"/>
  <c r="F62" i="119"/>
  <c r="A63" i="119" s="1"/>
  <c r="D62" i="119"/>
  <c r="C62" i="119"/>
  <c r="B62" i="119"/>
  <c r="H50" i="46" l="1"/>
  <c r="M50" i="46" s="1"/>
  <c r="O50" i="46" s="1"/>
  <c r="H50" i="45"/>
  <c r="M50" i="45" s="1"/>
  <c r="O50" i="45" s="1"/>
  <c r="K47" i="10"/>
  <c r="D49" i="10" s="1"/>
  <c r="F63" i="119"/>
  <c r="A64" i="119" s="1"/>
  <c r="D63" i="119"/>
  <c r="C63" i="119"/>
  <c r="B63" i="119"/>
  <c r="C64" i="119" l="1"/>
  <c r="B64" i="119"/>
  <c r="F64" i="119"/>
  <c r="A65" i="119" s="1"/>
  <c r="D64" i="119"/>
  <c r="G49" i="10"/>
  <c r="I49" i="10" s="1"/>
  <c r="K49" i="10" s="1"/>
  <c r="D51" i="10" s="1"/>
  <c r="F49" i="10"/>
  <c r="F51" i="10" l="1"/>
  <c r="G51" i="10"/>
  <c r="I51" i="10" s="1"/>
  <c r="H51" i="46"/>
  <c r="M51" i="46" s="1"/>
  <c r="O51" i="46" s="1"/>
  <c r="H51" i="45"/>
  <c r="M51" i="45" s="1"/>
  <c r="O51" i="45" s="1"/>
  <c r="F65" i="119"/>
  <c r="A66" i="119" s="1"/>
  <c r="D65" i="119"/>
  <c r="C65" i="119"/>
  <c r="B65" i="119"/>
  <c r="F66" i="119" l="1"/>
  <c r="A67" i="119" s="1"/>
  <c r="D66" i="119"/>
  <c r="C66" i="119"/>
  <c r="B66" i="119"/>
  <c r="H52" i="46"/>
  <c r="M52" i="46" s="1"/>
  <c r="O52" i="46" s="1"/>
  <c r="H52" i="45"/>
  <c r="M52" i="45" s="1"/>
  <c r="O52" i="45" s="1"/>
  <c r="K51" i="10"/>
  <c r="D53" i="10" s="1"/>
  <c r="G53" i="10" l="1"/>
  <c r="I53" i="10" s="1"/>
  <c r="K53" i="10" s="1"/>
  <c r="D55" i="10" s="1"/>
  <c r="F53" i="10"/>
  <c r="D67" i="119"/>
  <c r="C67" i="119"/>
  <c r="B67" i="119"/>
  <c r="F67" i="119"/>
  <c r="A68" i="119" s="1"/>
  <c r="F55" i="10" l="1"/>
  <c r="G55" i="10" s="1"/>
  <c r="I55" i="10" s="1"/>
  <c r="F68" i="119"/>
  <c r="A69" i="119" s="1"/>
  <c r="D68" i="119"/>
  <c r="C68" i="119"/>
  <c r="B68" i="119"/>
  <c r="H54" i="46"/>
  <c r="M54" i="46" s="1"/>
  <c r="O54" i="46" s="1"/>
  <c r="H54" i="45"/>
  <c r="M54" i="45" s="1"/>
  <c r="O54" i="45" s="1"/>
  <c r="H55" i="46" l="1"/>
  <c r="M55" i="46" s="1"/>
  <c r="O55" i="46" s="1"/>
  <c r="H55" i="45"/>
  <c r="M55" i="45" s="1"/>
  <c r="O55" i="45" s="1"/>
  <c r="K55" i="10"/>
  <c r="D57" i="10" s="1"/>
  <c r="B69" i="119"/>
  <c r="C69" i="119"/>
  <c r="F69" i="119"/>
  <c r="A70" i="119" s="1"/>
  <c r="D69" i="119"/>
  <c r="F70" i="119" l="1"/>
  <c r="A71" i="119" s="1"/>
  <c r="D70" i="119"/>
  <c r="C70" i="119"/>
  <c r="B70" i="119"/>
  <c r="F57" i="10"/>
  <c r="G57" i="10" s="1"/>
  <c r="I57" i="10" s="1"/>
  <c r="H56" i="46" l="1"/>
  <c r="M56" i="46" s="1"/>
  <c r="O56" i="46" s="1"/>
  <c r="H56" i="45"/>
  <c r="M56" i="45" s="1"/>
  <c r="O56" i="45" s="1"/>
  <c r="K57" i="10"/>
  <c r="D59" i="10" s="1"/>
  <c r="F71" i="119"/>
  <c r="A72" i="119" s="1"/>
  <c r="D71" i="119"/>
  <c r="C71" i="119"/>
  <c r="B71" i="119"/>
  <c r="C72" i="119" l="1"/>
  <c r="B72" i="119"/>
  <c r="F72" i="119"/>
  <c r="A73" i="119" s="1"/>
  <c r="D72" i="119"/>
  <c r="F59" i="10"/>
  <c r="G59" i="10" s="1"/>
  <c r="I59" i="10" s="1"/>
  <c r="H57" i="46" l="1"/>
  <c r="M57" i="46" s="1"/>
  <c r="O57" i="46" s="1"/>
  <c r="H57" i="45"/>
  <c r="M57" i="45" s="1"/>
  <c r="O57" i="45" s="1"/>
  <c r="K59" i="10"/>
  <c r="D61" i="10" s="1"/>
  <c r="F73" i="119"/>
  <c r="A74" i="119" s="1"/>
  <c r="D73" i="119"/>
  <c r="C73" i="119"/>
  <c r="B73" i="119"/>
  <c r="F61" i="10" l="1"/>
  <c r="G61" i="10" s="1"/>
  <c r="I61" i="10" s="1"/>
  <c r="K61" i="10" s="1"/>
  <c r="D63" i="10" s="1"/>
  <c r="F74" i="119"/>
  <c r="A75" i="119" s="1"/>
  <c r="D74" i="119"/>
  <c r="C74" i="119"/>
  <c r="B74" i="119"/>
  <c r="F63" i="10" l="1"/>
  <c r="G63" i="10" s="1"/>
  <c r="I63" i="10" s="1"/>
  <c r="K63" i="10" s="1"/>
  <c r="D75" i="119"/>
  <c r="C75" i="119"/>
  <c r="B75" i="119"/>
  <c r="F75" i="119"/>
  <c r="A76" i="119" s="1"/>
  <c r="F76" i="119" l="1"/>
  <c r="A77" i="119" s="1"/>
  <c r="D76" i="119"/>
  <c r="C76" i="119"/>
  <c r="B76" i="119"/>
  <c r="B77" i="119" l="1"/>
  <c r="D77" i="119"/>
  <c r="C77" i="119"/>
  <c r="F77" i="119"/>
  <c r="A78" i="119" s="1"/>
  <c r="F78" i="119" l="1"/>
  <c r="A79" i="119" s="1"/>
  <c r="D78" i="119"/>
  <c r="C78" i="119"/>
  <c r="B78" i="119"/>
  <c r="F79" i="119" l="1"/>
  <c r="A80" i="119" s="1"/>
  <c r="D79" i="119"/>
  <c r="C79" i="119"/>
  <c r="B79" i="119"/>
  <c r="C80" i="119" l="1"/>
  <c r="B80" i="119"/>
  <c r="F80" i="119"/>
  <c r="A81" i="119" s="1"/>
  <c r="D80" i="119"/>
  <c r="F81" i="119" l="1"/>
  <c r="A82" i="119" s="1"/>
  <c r="D81" i="119"/>
  <c r="C81" i="119"/>
  <c r="B81" i="119"/>
  <c r="F82" i="119" l="1"/>
  <c r="A83" i="119" s="1"/>
  <c r="B82" i="119"/>
  <c r="D82" i="119"/>
  <c r="C82" i="119"/>
  <c r="D83" i="119" l="1"/>
  <c r="C83" i="119"/>
  <c r="B83" i="119"/>
  <c r="F83" i="119"/>
  <c r="A84" i="119" s="1"/>
  <c r="F84" i="119" l="1"/>
  <c r="A85" i="119" s="1"/>
  <c r="D84" i="119"/>
  <c r="C84" i="119"/>
  <c r="B84" i="119"/>
  <c r="B85" i="119" l="1"/>
  <c r="F85" i="119"/>
  <c r="A86" i="119" s="1"/>
  <c r="D85" i="119"/>
  <c r="C85" i="119"/>
  <c r="F86" i="119" l="1"/>
  <c r="A87" i="119" s="1"/>
  <c r="D86" i="119"/>
  <c r="C86" i="119"/>
  <c r="B86" i="119"/>
  <c r="F87" i="119" l="1"/>
  <c r="A88" i="119" s="1"/>
  <c r="D87" i="119"/>
  <c r="C87" i="119"/>
  <c r="B87" i="119"/>
  <c r="C88" i="119" l="1"/>
  <c r="B88" i="119"/>
  <c r="F88" i="119"/>
  <c r="A89" i="119" s="1"/>
  <c r="D88" i="119"/>
  <c r="F89" i="119" l="1"/>
  <c r="A90" i="119" s="1"/>
  <c r="D89" i="119"/>
  <c r="C89" i="119"/>
  <c r="B89" i="119"/>
  <c r="F90" i="119" l="1"/>
  <c r="A91" i="119" s="1"/>
  <c r="C90" i="119"/>
  <c r="B90" i="119"/>
  <c r="D90" i="119"/>
  <c r="D91" i="119" l="1"/>
  <c r="C91" i="119"/>
  <c r="B91" i="119"/>
  <c r="F91" i="119"/>
  <c r="A92" i="119" s="1"/>
  <c r="F92" i="119" l="1"/>
  <c r="A93" i="119" s="1"/>
  <c r="D92" i="119"/>
  <c r="C92" i="119"/>
  <c r="B92" i="119"/>
  <c r="B93" i="119" l="1"/>
  <c r="F93" i="119"/>
  <c r="A94" i="119" s="1"/>
  <c r="D93" i="119"/>
  <c r="C93" i="119"/>
  <c r="F94" i="119" l="1"/>
  <c r="A95" i="119" s="1"/>
  <c r="D94" i="119"/>
  <c r="C94" i="119"/>
  <c r="B94" i="119"/>
  <c r="F95" i="119" l="1"/>
  <c r="A96" i="119" s="1"/>
  <c r="D95" i="119"/>
  <c r="C95" i="119"/>
  <c r="B95" i="119"/>
  <c r="C96" i="119" l="1"/>
  <c r="B96" i="119"/>
  <c r="F96" i="119"/>
  <c r="A97" i="119" s="1"/>
  <c r="D96" i="119"/>
  <c r="F97" i="119" l="1"/>
  <c r="A98" i="119" s="1"/>
  <c r="D97" i="119"/>
  <c r="C97" i="119"/>
  <c r="B97" i="119"/>
  <c r="F98" i="119" l="1"/>
  <c r="A99" i="119" s="1"/>
  <c r="D98" i="119"/>
  <c r="C98" i="119"/>
  <c r="B98" i="119"/>
  <c r="D99" i="119" l="1"/>
  <c r="C99" i="119"/>
  <c r="B99" i="119"/>
  <c r="F99" i="119"/>
  <c r="A100" i="119" s="1"/>
  <c r="F100" i="119" l="1"/>
  <c r="A101" i="119" s="1"/>
  <c r="D100" i="119"/>
  <c r="C100" i="119"/>
  <c r="B100" i="119"/>
  <c r="B101" i="119" l="1"/>
  <c r="F101" i="119"/>
  <c r="A102" i="119" s="1"/>
  <c r="D101" i="119"/>
  <c r="C101" i="119"/>
  <c r="F102" i="119" l="1"/>
  <c r="A103" i="119" s="1"/>
  <c r="D102" i="119"/>
  <c r="C102" i="119"/>
  <c r="B102" i="119"/>
  <c r="F103" i="119" l="1"/>
  <c r="A104" i="119" s="1"/>
  <c r="D103" i="119"/>
  <c r="B103" i="119"/>
  <c r="C103" i="119"/>
  <c r="C104" i="119" l="1"/>
  <c r="B104" i="119"/>
  <c r="F104" i="119"/>
  <c r="A105" i="119" s="1"/>
  <c r="D104" i="119"/>
  <c r="F105" i="119" l="1"/>
  <c r="A106" i="119" s="1"/>
  <c r="D105" i="119"/>
  <c r="C105" i="119"/>
  <c r="B105" i="119"/>
  <c r="F106" i="119" l="1"/>
  <c r="A107" i="119" s="1"/>
  <c r="D106" i="119"/>
  <c r="C106" i="119"/>
  <c r="B106" i="119"/>
  <c r="D107" i="119" l="1"/>
  <c r="C107" i="119"/>
  <c r="B107" i="119"/>
  <c r="F107" i="119"/>
  <c r="A108" i="119" s="1"/>
  <c r="F108" i="119" l="1"/>
  <c r="A109" i="119" s="1"/>
  <c r="D108" i="119"/>
  <c r="C108" i="119"/>
  <c r="B108" i="119"/>
  <c r="B109" i="119" l="1"/>
  <c r="F109" i="119"/>
  <c r="A110" i="119" s="1"/>
  <c r="D109" i="119"/>
  <c r="C109" i="119"/>
  <c r="F110" i="119" l="1"/>
  <c r="A111" i="119" s="1"/>
  <c r="D110" i="119"/>
  <c r="C110" i="119"/>
  <c r="B110" i="119"/>
  <c r="F111" i="119" l="1"/>
  <c r="A112" i="119" s="1"/>
  <c r="D111" i="119"/>
  <c r="C111" i="119"/>
  <c r="B111" i="119"/>
  <c r="C112" i="119" l="1"/>
  <c r="B112" i="119"/>
  <c r="F112" i="119"/>
  <c r="A113" i="119" s="1"/>
  <c r="D112" i="119"/>
  <c r="F113" i="119" l="1"/>
  <c r="A114" i="119" s="1"/>
  <c r="D113" i="119"/>
  <c r="C113" i="119"/>
  <c r="B113" i="119"/>
  <c r="F114" i="119" l="1"/>
  <c r="A115" i="119" s="1"/>
  <c r="D114" i="119"/>
  <c r="C114" i="119"/>
  <c r="B114" i="119"/>
  <c r="D115" i="119" l="1"/>
  <c r="C115" i="119"/>
  <c r="B115" i="119"/>
  <c r="F115" i="119"/>
  <c r="A116" i="119" s="1"/>
  <c r="F116" i="119" l="1"/>
  <c r="A117" i="119" s="1"/>
  <c r="D116" i="119"/>
  <c r="C116" i="119"/>
  <c r="B116" i="119"/>
  <c r="B117" i="119" l="1"/>
  <c r="D117" i="119"/>
  <c r="F117" i="119"/>
  <c r="A118" i="119" s="1"/>
  <c r="C117" i="119"/>
  <c r="F118" i="119" l="1"/>
  <c r="A119" i="119" s="1"/>
  <c r="D118" i="119"/>
  <c r="C118" i="119"/>
  <c r="B118" i="119"/>
  <c r="F119" i="119" l="1"/>
  <c r="A120" i="119" s="1"/>
  <c r="D119" i="119"/>
  <c r="B119" i="119"/>
  <c r="C119" i="119"/>
  <c r="C120" i="119" l="1"/>
  <c r="B120" i="119"/>
  <c r="F120" i="119"/>
  <c r="A121" i="119" s="1"/>
  <c r="D120" i="119"/>
  <c r="F121" i="119" l="1"/>
  <c r="A122" i="119" s="1"/>
  <c r="D121" i="119"/>
  <c r="C121" i="119"/>
  <c r="B121" i="119"/>
  <c r="F122" i="119" l="1"/>
  <c r="A123" i="119" s="1"/>
  <c r="C122" i="119"/>
  <c r="D122" i="119"/>
  <c r="B122" i="119"/>
  <c r="D123" i="119" l="1"/>
  <c r="C123" i="119"/>
  <c r="B123" i="119"/>
  <c r="F123" i="119"/>
  <c r="A124" i="119" s="1"/>
  <c r="F124" i="119" l="1"/>
  <c r="A125" i="119" s="1"/>
  <c r="D124" i="119"/>
  <c r="C124" i="119"/>
  <c r="B124" i="119"/>
  <c r="B125" i="119" l="1"/>
  <c r="D125" i="119"/>
  <c r="F125" i="119"/>
  <c r="A126" i="119" s="1"/>
  <c r="C125" i="119"/>
  <c r="F126" i="119" l="1"/>
  <c r="A127" i="119" s="1"/>
  <c r="D126" i="119"/>
  <c r="C126" i="119"/>
  <c r="B126" i="119"/>
  <c r="F127" i="119" l="1"/>
  <c r="A128" i="119" s="1"/>
  <c r="D127" i="119"/>
  <c r="B127" i="119"/>
  <c r="C127" i="119"/>
  <c r="C128" i="119" l="1"/>
  <c r="B128" i="119"/>
  <c r="F128" i="119"/>
  <c r="A129" i="119" s="1"/>
  <c r="D128" i="119"/>
  <c r="F129" i="119" l="1"/>
  <c r="A130" i="119" s="1"/>
  <c r="D129" i="119"/>
  <c r="C129" i="119"/>
  <c r="B129" i="119"/>
  <c r="F130" i="119" l="1"/>
  <c r="A131" i="119" s="1"/>
  <c r="C130" i="119"/>
  <c r="D130" i="119"/>
  <c r="B130" i="119"/>
  <c r="D131" i="119" l="1"/>
  <c r="C131" i="119"/>
  <c r="B131" i="119"/>
  <c r="F131" i="119"/>
  <c r="A132" i="119" s="1"/>
  <c r="F132" i="119" l="1"/>
  <c r="A133" i="119" s="1"/>
  <c r="D132" i="119"/>
  <c r="C132" i="119"/>
  <c r="B132" i="119"/>
  <c r="B133" i="119" l="1"/>
  <c r="D133" i="119"/>
  <c r="F133" i="119"/>
  <c r="A134" i="119" s="1"/>
  <c r="C133" i="119"/>
  <c r="F134" i="119" l="1"/>
  <c r="A135" i="119" s="1"/>
  <c r="D134" i="119"/>
  <c r="C134" i="119"/>
  <c r="B134" i="119"/>
  <c r="F135" i="119" l="1"/>
  <c r="A136" i="119" s="1"/>
  <c r="D135" i="119"/>
  <c r="B135" i="119"/>
  <c r="C135" i="119"/>
  <c r="C136" i="119" l="1"/>
  <c r="B136" i="119"/>
  <c r="F136" i="119"/>
  <c r="A137" i="119" s="1"/>
  <c r="D136" i="119"/>
  <c r="F137" i="119" l="1"/>
  <c r="A138" i="119" s="1"/>
  <c r="D137" i="119"/>
  <c r="C137" i="119"/>
  <c r="B137" i="119"/>
  <c r="F138" i="119" l="1"/>
  <c r="A139" i="119" s="1"/>
  <c r="C138" i="119"/>
  <c r="D138" i="119"/>
  <c r="B138" i="119"/>
  <c r="D139" i="119" l="1"/>
  <c r="C139" i="119"/>
  <c r="B139" i="119"/>
  <c r="F139" i="119"/>
  <c r="A140" i="119" s="1"/>
  <c r="F140" i="119" l="1"/>
  <c r="A141" i="119" s="1"/>
  <c r="D140" i="119"/>
  <c r="C140" i="119"/>
  <c r="B140" i="119"/>
  <c r="B141" i="119" l="1"/>
  <c r="D141" i="119"/>
  <c r="F141" i="119"/>
  <c r="A142" i="119" s="1"/>
  <c r="C141" i="119"/>
  <c r="F142" i="119" l="1"/>
  <c r="A143" i="119" s="1"/>
  <c r="D142" i="119"/>
  <c r="C142" i="119"/>
  <c r="B142" i="119"/>
  <c r="F143" i="119" l="1"/>
  <c r="A144" i="119" s="1"/>
  <c r="D143" i="119"/>
  <c r="B143" i="119"/>
  <c r="C143" i="119"/>
  <c r="C144" i="119" l="1"/>
  <c r="B144" i="119"/>
  <c r="F144" i="119"/>
  <c r="A145" i="119" s="1"/>
  <c r="D144" i="119"/>
  <c r="F145" i="119" l="1"/>
  <c r="A146" i="119" s="1"/>
  <c r="D145" i="119"/>
  <c r="C145" i="119"/>
  <c r="B145" i="119"/>
  <c r="F146" i="119" l="1"/>
  <c r="A147" i="119" s="1"/>
  <c r="C146" i="119"/>
  <c r="D146" i="119"/>
  <c r="B146" i="119"/>
  <c r="D147" i="119" l="1"/>
  <c r="C147" i="119"/>
  <c r="B147" i="119"/>
  <c r="F147" i="119"/>
  <c r="A148" i="119" s="1"/>
  <c r="F148" i="119" l="1"/>
  <c r="A149" i="119" s="1"/>
  <c r="D148" i="119"/>
  <c r="C148" i="119"/>
  <c r="B148" i="119"/>
  <c r="F149" i="119" l="1"/>
  <c r="A150" i="119" s="1"/>
  <c r="D149" i="119"/>
  <c r="B149" i="119"/>
  <c r="C149" i="119"/>
  <c r="B150" i="119" l="1"/>
  <c r="F150" i="119"/>
  <c r="A151" i="119" s="1"/>
  <c r="D150" i="119"/>
  <c r="C150" i="119"/>
  <c r="F151" i="119" l="1"/>
  <c r="A152" i="119" s="1"/>
  <c r="D151" i="119"/>
  <c r="C151" i="119"/>
  <c r="B151" i="119"/>
  <c r="F152" i="119" l="1"/>
  <c r="A153" i="119" s="1"/>
  <c r="B152" i="119"/>
  <c r="D152" i="119"/>
  <c r="C152" i="119"/>
  <c r="C153" i="119" l="1"/>
  <c r="B153" i="119"/>
  <c r="F153" i="119"/>
  <c r="A154" i="119" s="1"/>
  <c r="D153" i="119"/>
  <c r="F154" i="119" l="1"/>
  <c r="A155" i="119" s="1"/>
  <c r="D154" i="119"/>
  <c r="C154" i="119"/>
  <c r="B154" i="119"/>
  <c r="F155" i="119" l="1"/>
  <c r="A156" i="119" s="1"/>
  <c r="C155" i="119"/>
  <c r="B155" i="119"/>
  <c r="D155" i="119"/>
  <c r="D156" i="119" l="1"/>
  <c r="C156" i="119"/>
  <c r="B156" i="119"/>
  <c r="F156" i="119"/>
  <c r="A157" i="119" s="1"/>
  <c r="F157" i="119" l="1"/>
  <c r="A158" i="119" s="1"/>
  <c r="D157" i="119"/>
  <c r="C157" i="119"/>
  <c r="B157" i="119"/>
  <c r="B158" i="119" l="1"/>
  <c r="F158" i="119"/>
  <c r="A159" i="119" s="1"/>
  <c r="D158" i="119"/>
  <c r="C158" i="119"/>
  <c r="F159" i="119" l="1"/>
  <c r="A160" i="119" s="1"/>
  <c r="D159" i="119"/>
  <c r="C159" i="119"/>
  <c r="B159" i="119"/>
  <c r="F160" i="119" l="1"/>
  <c r="A161" i="119" s="1"/>
  <c r="D160" i="119"/>
  <c r="C160" i="119"/>
  <c r="B160" i="119"/>
  <c r="C161" i="119" l="1"/>
  <c r="B161" i="119"/>
  <c r="F161" i="119"/>
  <c r="A162" i="119" s="1"/>
  <c r="D161" i="119"/>
  <c r="F162" i="119" l="1"/>
  <c r="A163" i="119" s="1"/>
  <c r="D162" i="119"/>
  <c r="C162" i="119"/>
  <c r="B162" i="119"/>
  <c r="F163" i="119" l="1"/>
  <c r="A164" i="119" s="1"/>
  <c r="D163" i="119"/>
  <c r="C163" i="119"/>
  <c r="B163" i="119"/>
  <c r="D164" i="119" l="1"/>
  <c r="C164" i="119"/>
  <c r="B164" i="119"/>
  <c r="F164" i="119"/>
  <c r="A165" i="119" s="1"/>
  <c r="F165" i="119" l="1"/>
  <c r="A166" i="119" s="1"/>
  <c r="D165" i="119"/>
  <c r="C165" i="119"/>
  <c r="B165" i="119"/>
  <c r="B166" i="119" l="1"/>
  <c r="F166" i="119"/>
  <c r="A167" i="119" s="1"/>
  <c r="D166" i="119"/>
  <c r="C166" i="119"/>
  <c r="F167" i="119" l="1"/>
  <c r="A168" i="119" s="1"/>
  <c r="D167" i="119"/>
  <c r="C167" i="119"/>
  <c r="B167" i="119"/>
  <c r="F168" i="119" l="1"/>
  <c r="A169" i="119" s="1"/>
  <c r="D168" i="119"/>
  <c r="B168" i="119"/>
  <c r="C168" i="119"/>
  <c r="C169" i="119" l="1"/>
  <c r="B169" i="119"/>
  <c r="D169" i="119"/>
  <c r="F169" i="119"/>
  <c r="A170" i="119" s="1"/>
  <c r="F170" i="119" l="1"/>
  <c r="A171" i="119" s="1"/>
  <c r="D170" i="119"/>
  <c r="C170" i="119"/>
  <c r="B170" i="119"/>
  <c r="F171" i="119" l="1"/>
  <c r="A172" i="119" s="1"/>
  <c r="D171" i="119"/>
  <c r="C171" i="119"/>
  <c r="B171" i="119"/>
  <c r="D172" i="119" l="1"/>
  <c r="C172" i="119"/>
  <c r="B172" i="119"/>
  <c r="F172" i="119"/>
  <c r="A173" i="119" s="1"/>
  <c r="F173" i="119" l="1"/>
  <c r="A174" i="119" s="1"/>
  <c r="D173" i="119"/>
  <c r="C173" i="119"/>
  <c r="B173" i="119"/>
  <c r="B174" i="119" l="1"/>
  <c r="F174" i="119"/>
  <c r="A175" i="119" s="1"/>
  <c r="D174" i="119"/>
  <c r="C174" i="119"/>
  <c r="F175" i="119" l="1"/>
  <c r="A176" i="119" s="1"/>
  <c r="D175" i="119"/>
  <c r="C175" i="119"/>
  <c r="B175" i="119"/>
  <c r="F176" i="119" l="1"/>
  <c r="A177" i="119" s="1"/>
  <c r="D176" i="119"/>
  <c r="C176" i="119"/>
  <c r="B176" i="119"/>
  <c r="C177" i="119" l="1"/>
  <c r="B177" i="119"/>
  <c r="F177" i="119"/>
  <c r="A178" i="119" s="1"/>
  <c r="D177" i="119"/>
  <c r="F178" i="119" l="1"/>
  <c r="A179" i="119" s="1"/>
  <c r="D178" i="119"/>
  <c r="C178" i="119"/>
  <c r="B178" i="119"/>
  <c r="F179" i="119" l="1"/>
  <c r="A180" i="119" s="1"/>
  <c r="D179" i="119"/>
  <c r="C179" i="119"/>
  <c r="B179" i="119"/>
  <c r="D180" i="119" l="1"/>
  <c r="C180" i="119"/>
  <c r="B180" i="119"/>
  <c r="F180" i="119"/>
  <c r="A181" i="119" s="1"/>
  <c r="F181" i="119" l="1"/>
  <c r="A182" i="119" s="1"/>
  <c r="D181" i="119"/>
  <c r="C181" i="119"/>
  <c r="B181" i="119"/>
  <c r="B182" i="119" l="1"/>
  <c r="F182" i="119"/>
  <c r="A183" i="119" s="1"/>
  <c r="C182" i="119"/>
  <c r="D182" i="119"/>
  <c r="F183" i="119" l="1"/>
  <c r="A184" i="119" s="1"/>
  <c r="D183" i="119"/>
  <c r="C183" i="119"/>
  <c r="B183" i="119"/>
  <c r="F184" i="119" l="1"/>
  <c r="A185" i="119" s="1"/>
  <c r="D184" i="119"/>
  <c r="C184" i="119"/>
  <c r="B184" i="119"/>
  <c r="C185" i="119" l="1"/>
  <c r="B185" i="119"/>
  <c r="D185" i="119"/>
  <c r="F185" i="119"/>
  <c r="A186" i="119" s="1"/>
  <c r="F186" i="119" l="1"/>
  <c r="A187" i="119" s="1"/>
  <c r="D186" i="119"/>
  <c r="C186" i="119"/>
  <c r="B186" i="119"/>
  <c r="F187" i="119" l="1"/>
  <c r="A188" i="119" s="1"/>
  <c r="D187" i="119"/>
  <c r="C187" i="119"/>
  <c r="B187" i="119"/>
  <c r="D188" i="119" l="1"/>
  <c r="C188" i="119"/>
  <c r="B188" i="119"/>
  <c r="F188" i="119"/>
  <c r="A189" i="119" s="1"/>
  <c r="F189" i="119" l="1"/>
  <c r="A190" i="119" s="1"/>
  <c r="D189" i="119"/>
  <c r="C189" i="119"/>
  <c r="B189" i="119"/>
  <c r="B190" i="119" l="1"/>
  <c r="D190" i="119"/>
  <c r="F190" i="119"/>
  <c r="A191" i="119" s="1"/>
  <c r="C190" i="119"/>
  <c r="F191" i="119" l="1"/>
  <c r="A192" i="119" s="1"/>
  <c r="D191" i="119"/>
  <c r="C191" i="119"/>
  <c r="B191" i="119"/>
  <c r="F192" i="119" l="1"/>
  <c r="A193" i="119" s="1"/>
  <c r="D192" i="119"/>
  <c r="C192" i="119"/>
  <c r="B192" i="119"/>
  <c r="C193" i="119" l="1"/>
  <c r="B193" i="119"/>
  <c r="F193" i="119"/>
  <c r="A194" i="119" s="1"/>
  <c r="D193" i="119"/>
  <c r="F194" i="119" l="1"/>
  <c r="A195" i="119" s="1"/>
  <c r="D194" i="119"/>
  <c r="C194" i="119"/>
  <c r="B194" i="119"/>
  <c r="F195" i="119" l="1"/>
  <c r="A196" i="119" s="1"/>
  <c r="D195" i="119"/>
  <c r="B195" i="119"/>
  <c r="C195" i="119"/>
  <c r="D196" i="119" l="1"/>
  <c r="C196" i="119"/>
  <c r="B196" i="119"/>
  <c r="F196" i="119"/>
  <c r="A197" i="119" s="1"/>
  <c r="F197" i="119" l="1"/>
  <c r="A198" i="119" s="1"/>
  <c r="D197" i="119"/>
  <c r="C197" i="119"/>
  <c r="B197" i="119"/>
  <c r="B198" i="119" l="1"/>
  <c r="C198" i="119"/>
  <c r="F198" i="119"/>
  <c r="A199" i="119" s="1"/>
  <c r="D198" i="119"/>
  <c r="F199" i="119" l="1"/>
  <c r="A200" i="119" s="1"/>
  <c r="D199" i="119"/>
  <c r="C199" i="119"/>
  <c r="B199" i="119"/>
  <c r="F200" i="119" l="1"/>
  <c r="A201" i="119" s="1"/>
  <c r="D200" i="119"/>
  <c r="C200" i="119"/>
  <c r="B200" i="119"/>
  <c r="C201" i="119" l="1"/>
  <c r="B201" i="119"/>
  <c r="F201" i="119"/>
  <c r="A202" i="119" s="1"/>
  <c r="D201" i="119"/>
  <c r="F202" i="119" l="1"/>
  <c r="A203" i="119" s="1"/>
  <c r="D202" i="119"/>
  <c r="C202" i="119"/>
  <c r="B202" i="119"/>
  <c r="F203" i="119" l="1"/>
  <c r="A204" i="119" s="1"/>
  <c r="C203" i="119"/>
  <c r="D203" i="119"/>
  <c r="B203" i="119"/>
  <c r="D204" i="119" l="1"/>
  <c r="C204" i="119"/>
  <c r="B204" i="119"/>
  <c r="F204" i="119"/>
  <c r="A205" i="119" s="1"/>
  <c r="F205" i="119" l="1"/>
  <c r="A206" i="119" s="1"/>
  <c r="D205" i="119"/>
  <c r="C205" i="119"/>
  <c r="B205" i="119"/>
  <c r="B206" i="119" l="1"/>
  <c r="D206" i="119"/>
  <c r="C206" i="119"/>
  <c r="F206" i="119"/>
  <c r="A207" i="119" s="1"/>
  <c r="F207" i="119" l="1"/>
  <c r="A208" i="119" s="1"/>
  <c r="D207" i="119"/>
  <c r="C207" i="119"/>
  <c r="B207" i="119"/>
  <c r="F208" i="119" l="1"/>
  <c r="A209" i="119" s="1"/>
  <c r="D208" i="119"/>
  <c r="C208" i="119"/>
  <c r="B208" i="119"/>
  <c r="C209" i="119" l="1"/>
  <c r="B209" i="119"/>
  <c r="F209" i="119"/>
  <c r="A210" i="119" s="1"/>
  <c r="D209" i="119"/>
  <c r="F210" i="119" l="1"/>
  <c r="A211" i="119" s="1"/>
  <c r="D210" i="119"/>
  <c r="C210" i="119"/>
  <c r="B210" i="119"/>
  <c r="F211" i="119" l="1"/>
  <c r="A212" i="119" s="1"/>
  <c r="B211" i="119"/>
  <c r="D211" i="119"/>
  <c r="C211" i="119"/>
  <c r="D212" i="119" l="1"/>
  <c r="C212" i="119"/>
  <c r="B212" i="119"/>
  <c r="F212" i="119"/>
  <c r="A213" i="119" s="1"/>
  <c r="F213" i="119" l="1"/>
  <c r="A214" i="119" s="1"/>
  <c r="D213" i="119"/>
  <c r="C213" i="119"/>
  <c r="B213" i="119"/>
  <c r="B214" i="119" l="1"/>
  <c r="F214" i="119"/>
  <c r="A215" i="119" s="1"/>
  <c r="D214" i="119"/>
  <c r="C214" i="119"/>
  <c r="F215" i="119" l="1"/>
  <c r="A216" i="119" s="1"/>
  <c r="D215" i="119"/>
  <c r="C215" i="119"/>
  <c r="B215" i="119"/>
  <c r="F216" i="119" l="1"/>
  <c r="A217" i="119" s="1"/>
  <c r="D216" i="119"/>
  <c r="B216" i="119"/>
  <c r="C216" i="119"/>
  <c r="C217" i="119" l="1"/>
  <c r="B217" i="119"/>
  <c r="F217" i="119"/>
  <c r="A218" i="119" s="1"/>
  <c r="D217" i="119"/>
  <c r="F218" i="119" l="1"/>
  <c r="A219" i="119" s="1"/>
  <c r="D218" i="119"/>
  <c r="C218" i="119"/>
  <c r="B218" i="119"/>
  <c r="F219" i="119" l="1"/>
  <c r="A220" i="119" s="1"/>
  <c r="C219" i="119"/>
  <c r="B219" i="119"/>
  <c r="D219" i="119"/>
  <c r="D220" i="119" l="1"/>
  <c r="C220" i="119"/>
  <c r="B220" i="119"/>
  <c r="F220" i="119"/>
  <c r="A221" i="119" s="1"/>
  <c r="F221" i="119" l="1"/>
  <c r="A222" i="119" s="1"/>
  <c r="D221" i="119"/>
  <c r="C221" i="119"/>
  <c r="B221" i="119"/>
  <c r="B222" i="119" l="1"/>
  <c r="F222" i="119"/>
  <c r="A223" i="119" s="1"/>
  <c r="D222" i="119"/>
  <c r="C222" i="119"/>
  <c r="F223" i="119" l="1"/>
  <c r="A224" i="119" s="1"/>
  <c r="D223" i="119"/>
  <c r="C223" i="119"/>
  <c r="B223" i="119"/>
  <c r="F224" i="119" l="1"/>
  <c r="A225" i="119" s="1"/>
  <c r="D224" i="119"/>
  <c r="C224" i="119"/>
  <c r="B224" i="119"/>
  <c r="C225" i="119" l="1"/>
  <c r="B225" i="119"/>
  <c r="F225" i="119"/>
  <c r="A226" i="119" s="1"/>
  <c r="D225" i="119"/>
  <c r="F226" i="119" l="1"/>
  <c r="A227" i="119" s="1"/>
  <c r="D226" i="119"/>
  <c r="C226" i="119"/>
  <c r="B226" i="119"/>
  <c r="F227" i="119" l="1"/>
  <c r="A228" i="119" s="1"/>
  <c r="D227" i="119"/>
  <c r="C227" i="119"/>
  <c r="B227" i="119"/>
  <c r="D228" i="119" l="1"/>
  <c r="C228" i="119"/>
  <c r="B228" i="119"/>
  <c r="F228" i="119"/>
  <c r="A229" i="119" s="1"/>
  <c r="F229" i="119" l="1"/>
  <c r="A230" i="119" s="1"/>
  <c r="D229" i="119"/>
  <c r="C229" i="119"/>
  <c r="B229" i="119"/>
  <c r="B230" i="119" l="1"/>
  <c r="F230" i="119"/>
  <c r="A231" i="119" s="1"/>
  <c r="D230" i="119"/>
  <c r="C230" i="119"/>
  <c r="F231" i="119" l="1"/>
  <c r="A232" i="119" s="1"/>
  <c r="D231" i="119"/>
  <c r="C231" i="119"/>
  <c r="B231" i="119"/>
  <c r="F232" i="119" l="1"/>
  <c r="A233" i="119" s="1"/>
  <c r="D232" i="119"/>
  <c r="B232" i="119"/>
  <c r="C232" i="119"/>
  <c r="C233" i="119" l="1"/>
  <c r="B233" i="119"/>
  <c r="D233" i="119"/>
  <c r="F233" i="119"/>
  <c r="A234" i="119" s="1"/>
  <c r="F234" i="119" l="1"/>
  <c r="A235" i="119" s="1"/>
  <c r="D234" i="119"/>
  <c r="C234" i="119"/>
  <c r="B234" i="119"/>
  <c r="F235" i="119" l="1"/>
  <c r="A236" i="119" s="1"/>
  <c r="D235" i="119"/>
  <c r="C235" i="119"/>
  <c r="B235" i="119"/>
  <c r="D236" i="119" l="1"/>
  <c r="C236" i="119"/>
  <c r="B236" i="119"/>
  <c r="F236" i="119"/>
  <c r="A237" i="119" s="1"/>
  <c r="F237" i="119" l="1"/>
  <c r="A238" i="119" s="1"/>
  <c r="D237" i="119"/>
  <c r="C237" i="119"/>
  <c r="B237" i="119"/>
  <c r="B238" i="119" l="1"/>
  <c r="F238" i="119"/>
  <c r="A239" i="119" s="1"/>
  <c r="D238" i="119"/>
  <c r="C238" i="119"/>
  <c r="F239" i="119" l="1"/>
  <c r="A240" i="119" s="1"/>
  <c r="D239" i="119"/>
  <c r="C239" i="119"/>
  <c r="B239" i="119"/>
  <c r="F240" i="119" l="1"/>
  <c r="A241" i="119" s="1"/>
  <c r="D240" i="119"/>
  <c r="C240" i="119"/>
  <c r="B240" i="119"/>
  <c r="C241" i="119" l="1"/>
  <c r="B241" i="119"/>
  <c r="F241" i="119"/>
  <c r="A242" i="119" s="1"/>
  <c r="D241" i="119"/>
  <c r="F242" i="119" l="1"/>
  <c r="A243" i="119" s="1"/>
  <c r="D242" i="119"/>
  <c r="C242" i="119"/>
  <c r="B242" i="119"/>
  <c r="F243" i="119" l="1"/>
  <c r="A244" i="119" s="1"/>
  <c r="D243" i="119"/>
  <c r="C243" i="119"/>
  <c r="B243" i="119"/>
  <c r="D244" i="119" l="1"/>
  <c r="C244" i="119"/>
  <c r="B244" i="119"/>
  <c r="F244" i="119"/>
  <c r="A245" i="119" s="1"/>
  <c r="F245" i="119" l="1"/>
  <c r="A246" i="119" s="1"/>
  <c r="D245" i="119"/>
  <c r="C245" i="119"/>
  <c r="B245" i="119"/>
  <c r="B246" i="119" l="1"/>
  <c r="F246" i="119"/>
  <c r="A247" i="119" s="1"/>
  <c r="C246" i="119"/>
  <c r="D246" i="119"/>
  <c r="F247" i="119" l="1"/>
  <c r="A248" i="119" s="1"/>
  <c r="D247" i="119"/>
  <c r="C247" i="119"/>
  <c r="B247" i="119"/>
  <c r="F248" i="119" l="1"/>
  <c r="A249" i="119" s="1"/>
  <c r="D248" i="119"/>
  <c r="C248" i="119"/>
  <c r="B248" i="119"/>
  <c r="C249" i="119" l="1"/>
  <c r="B249" i="119"/>
  <c r="D249" i="119"/>
  <c r="F249" i="119"/>
  <c r="A250" i="119" s="1"/>
  <c r="F250" i="119" l="1"/>
  <c r="A251" i="119" s="1"/>
  <c r="D250" i="119"/>
  <c r="C250" i="119"/>
  <c r="B250" i="119"/>
  <c r="F251" i="119" l="1"/>
  <c r="A252" i="119" s="1"/>
  <c r="D251" i="119"/>
  <c r="C251" i="119"/>
  <c r="B251" i="119"/>
  <c r="D252" i="119" l="1"/>
  <c r="C252" i="119"/>
  <c r="B252" i="119"/>
  <c r="F252" i="119"/>
  <c r="A253" i="119" s="1"/>
  <c r="F253" i="119" l="1"/>
  <c r="A254" i="119" s="1"/>
  <c r="D253" i="119"/>
  <c r="C253" i="119"/>
  <c r="B253" i="119"/>
  <c r="B254" i="119" l="1"/>
  <c r="D254" i="119"/>
  <c r="F254" i="119"/>
  <c r="A255" i="119" s="1"/>
  <c r="C254" i="119"/>
  <c r="F255" i="119" l="1"/>
  <c r="A256" i="119" s="1"/>
  <c r="D255" i="119"/>
  <c r="C255" i="119"/>
  <c r="B255" i="119"/>
  <c r="F256" i="119" l="1"/>
  <c r="A257" i="119" s="1"/>
  <c r="D256" i="119"/>
  <c r="C256" i="119"/>
  <c r="B256" i="119"/>
  <c r="C257" i="119" l="1"/>
  <c r="B257" i="119"/>
  <c r="F257" i="119"/>
  <c r="A258" i="119" s="1"/>
  <c r="D257" i="119"/>
  <c r="F258" i="119" l="1"/>
  <c r="A259" i="119" s="1"/>
  <c r="D258" i="119"/>
  <c r="C258" i="119"/>
  <c r="B258" i="119"/>
  <c r="F259" i="119" l="1"/>
  <c r="A260" i="119" s="1"/>
  <c r="D259" i="119"/>
  <c r="B259" i="119"/>
  <c r="C259" i="119"/>
  <c r="D260" i="119" l="1"/>
  <c r="C260" i="119"/>
  <c r="B260" i="119"/>
  <c r="F260" i="119"/>
  <c r="A261" i="119" s="1"/>
  <c r="F261" i="119" l="1"/>
  <c r="A262" i="119" s="1"/>
  <c r="D261" i="119"/>
  <c r="C261" i="119"/>
  <c r="B261" i="119"/>
  <c r="B262" i="119" l="1"/>
  <c r="C262" i="119"/>
  <c r="F262" i="119"/>
  <c r="A263" i="119" s="1"/>
  <c r="D262" i="119"/>
  <c r="F263" i="119" l="1"/>
  <c r="A264" i="119" s="1"/>
  <c r="D263" i="119"/>
  <c r="C263" i="119"/>
  <c r="B263" i="119"/>
  <c r="F264" i="119" l="1"/>
  <c r="A265" i="119" s="1"/>
  <c r="D264" i="119"/>
  <c r="C264" i="119"/>
  <c r="B264" i="119"/>
  <c r="C265" i="119" l="1"/>
  <c r="B265" i="119"/>
  <c r="F265" i="119"/>
  <c r="A266" i="119" s="1"/>
  <c r="D265" i="119"/>
  <c r="F266" i="119" l="1"/>
  <c r="A267" i="119" s="1"/>
  <c r="D266" i="119"/>
  <c r="C266" i="119"/>
  <c r="B266" i="119"/>
  <c r="F267" i="119" l="1"/>
  <c r="A268" i="119" s="1"/>
  <c r="C267" i="119"/>
  <c r="D267" i="119"/>
  <c r="B267" i="119"/>
  <c r="D268" i="119" l="1"/>
  <c r="C268" i="119"/>
  <c r="B268" i="119"/>
  <c r="F268" i="119"/>
  <c r="A269" i="119" s="1"/>
  <c r="F269" i="119" l="1"/>
  <c r="A270" i="119" s="1"/>
  <c r="D269" i="119"/>
  <c r="C269" i="119"/>
  <c r="B269" i="119"/>
  <c r="B270" i="119" l="1"/>
  <c r="D270" i="119"/>
  <c r="C270" i="119"/>
  <c r="F270" i="119"/>
  <c r="A271" i="119" s="1"/>
  <c r="F271" i="119" l="1"/>
  <c r="A272" i="119" s="1"/>
  <c r="D271" i="119"/>
  <c r="C271" i="119"/>
  <c r="B271" i="119"/>
  <c r="F272" i="119" l="1"/>
  <c r="A273" i="119" s="1"/>
  <c r="D272" i="119"/>
  <c r="C272" i="119"/>
  <c r="B272" i="119"/>
  <c r="C273" i="119" l="1"/>
  <c r="B273" i="119"/>
  <c r="F273" i="119"/>
  <c r="A274" i="119" s="1"/>
  <c r="D273" i="119"/>
  <c r="F274" i="119" l="1"/>
  <c r="A275" i="119" s="1"/>
  <c r="D274" i="119"/>
  <c r="C274" i="119"/>
  <c r="B274" i="119"/>
  <c r="F275" i="119" l="1"/>
  <c r="A276" i="119" s="1"/>
  <c r="B275" i="119"/>
  <c r="D275" i="119"/>
  <c r="C275" i="119"/>
  <c r="D276" i="119" l="1"/>
  <c r="C276" i="119"/>
  <c r="B276" i="119"/>
  <c r="F276" i="119"/>
  <c r="A277" i="119" s="1"/>
  <c r="F277" i="119" l="1"/>
  <c r="A278" i="119" s="1"/>
  <c r="D277" i="119"/>
  <c r="C277" i="119"/>
  <c r="B277" i="119"/>
  <c r="B278" i="119" l="1"/>
  <c r="F278" i="119"/>
  <c r="A279" i="119" s="1"/>
  <c r="D278" i="119"/>
  <c r="C278" i="119"/>
  <c r="F279" i="119" l="1"/>
  <c r="A280" i="119" s="1"/>
  <c r="D279" i="119"/>
  <c r="C279" i="119"/>
  <c r="B279" i="119"/>
  <c r="F280" i="119" l="1"/>
  <c r="A281" i="119" s="1"/>
  <c r="D280" i="119"/>
  <c r="B280" i="119"/>
  <c r="C280" i="119"/>
  <c r="C281" i="119" l="1"/>
  <c r="B281" i="119"/>
  <c r="F281" i="119"/>
  <c r="A282" i="119" s="1"/>
  <c r="D281" i="119"/>
  <c r="F282" i="119" l="1"/>
  <c r="A283" i="119" s="1"/>
  <c r="D282" i="119"/>
  <c r="C282" i="119"/>
  <c r="B282" i="119"/>
  <c r="F283" i="119" l="1"/>
  <c r="A284" i="119" s="1"/>
  <c r="C283" i="119"/>
  <c r="B283" i="119"/>
  <c r="D283" i="119"/>
  <c r="D284" i="119" l="1"/>
  <c r="C284" i="119"/>
  <c r="B284" i="119"/>
  <c r="F284" i="119"/>
  <c r="A285" i="119" s="1"/>
  <c r="F285" i="119" l="1"/>
  <c r="A286" i="119" s="1"/>
  <c r="D285" i="119"/>
  <c r="C285" i="119"/>
  <c r="B285" i="119"/>
  <c r="B286" i="119" l="1"/>
  <c r="F286" i="119"/>
  <c r="A287" i="119" s="1"/>
  <c r="D286" i="119"/>
  <c r="C286" i="119"/>
  <c r="F287" i="119" l="1"/>
  <c r="A288" i="119" s="1"/>
  <c r="D287" i="119"/>
  <c r="C287" i="119"/>
  <c r="B287" i="119"/>
  <c r="F288" i="119" l="1"/>
  <c r="A289" i="119" s="1"/>
  <c r="D288" i="119"/>
  <c r="C288" i="119"/>
  <c r="B288" i="119"/>
  <c r="C289" i="119" l="1"/>
  <c r="B289" i="119"/>
  <c r="F289" i="119"/>
  <c r="A290" i="119" s="1"/>
  <c r="D289" i="119"/>
  <c r="F290" i="119" l="1"/>
  <c r="A291" i="119" s="1"/>
  <c r="D290" i="119"/>
  <c r="C290" i="119"/>
  <c r="B290" i="119"/>
  <c r="F291" i="119" l="1"/>
  <c r="A292" i="119" s="1"/>
  <c r="D291" i="119"/>
  <c r="C291" i="119"/>
  <c r="B291" i="119"/>
  <c r="D292" i="119" l="1"/>
  <c r="C292" i="119"/>
  <c r="B292" i="119"/>
  <c r="F292" i="119"/>
  <c r="A293" i="119" s="1"/>
  <c r="F293" i="119" l="1"/>
  <c r="A294" i="119" s="1"/>
  <c r="D293" i="119"/>
  <c r="C293" i="119"/>
  <c r="B293" i="119"/>
  <c r="B294" i="119" l="1"/>
  <c r="F294" i="119"/>
  <c r="A295" i="119" s="1"/>
  <c r="D294" i="119"/>
  <c r="C294" i="119"/>
  <c r="F295" i="119" l="1"/>
  <c r="A296" i="119" s="1"/>
  <c r="D295" i="119"/>
  <c r="C295" i="119"/>
  <c r="B295" i="119"/>
  <c r="F296" i="119" l="1"/>
  <c r="A297" i="119" s="1"/>
  <c r="D296" i="119"/>
  <c r="B296" i="119"/>
  <c r="C296" i="119"/>
  <c r="C297" i="119" l="1"/>
  <c r="B297" i="119"/>
  <c r="D297" i="119"/>
  <c r="F297" i="119"/>
  <c r="A298" i="119" s="1"/>
  <c r="F298" i="119" l="1"/>
  <c r="A299" i="119" s="1"/>
  <c r="D298" i="119"/>
  <c r="C298" i="119"/>
  <c r="B298" i="119"/>
  <c r="F299" i="119" l="1"/>
  <c r="A300" i="119" s="1"/>
  <c r="D299" i="119"/>
  <c r="C299" i="119"/>
  <c r="B299" i="119"/>
  <c r="D300" i="119" l="1"/>
  <c r="C300" i="119"/>
  <c r="B300" i="119"/>
  <c r="F300" i="119"/>
  <c r="A301" i="119" s="1"/>
  <c r="F301" i="119" l="1"/>
  <c r="A302" i="119" s="1"/>
  <c r="D301" i="119"/>
  <c r="C301" i="119"/>
  <c r="B301" i="119"/>
  <c r="B302" i="119" l="1"/>
  <c r="F302" i="119"/>
  <c r="A303" i="119" s="1"/>
  <c r="D302" i="119"/>
  <c r="C302" i="119"/>
  <c r="F303" i="119" l="1"/>
  <c r="A304" i="119" s="1"/>
  <c r="D303" i="119"/>
  <c r="C303" i="119"/>
  <c r="B303" i="119"/>
  <c r="F304" i="119" l="1"/>
  <c r="A305" i="119" s="1"/>
  <c r="D304" i="119"/>
  <c r="C304" i="119"/>
  <c r="B304" i="119"/>
  <c r="C305" i="119" l="1"/>
  <c r="B305" i="119"/>
  <c r="F305" i="119"/>
  <c r="A306" i="119" s="1"/>
  <c r="D305" i="119"/>
  <c r="F306" i="119" l="1"/>
  <c r="A307" i="119" s="1"/>
  <c r="D306" i="119"/>
  <c r="C306" i="119"/>
  <c r="B306" i="119"/>
  <c r="F307" i="119" l="1"/>
  <c r="A308" i="119" s="1"/>
  <c r="D307" i="119"/>
  <c r="C307" i="119"/>
  <c r="B307" i="119"/>
  <c r="D308" i="119" l="1"/>
  <c r="C308" i="119"/>
  <c r="B308" i="119"/>
  <c r="F308" i="119"/>
  <c r="A309" i="119" s="1"/>
  <c r="F309" i="119" l="1"/>
  <c r="A310" i="119" s="1"/>
  <c r="D309" i="119"/>
  <c r="C309" i="119"/>
  <c r="B309" i="119"/>
  <c r="B310" i="119" l="1"/>
  <c r="F310" i="119"/>
  <c r="A311" i="119" s="1"/>
  <c r="C310" i="119"/>
  <c r="D310" i="119"/>
  <c r="F311" i="119" l="1"/>
  <c r="A312" i="119" s="1"/>
  <c r="D311" i="119"/>
  <c r="C311" i="119"/>
  <c r="B311" i="119"/>
  <c r="F312" i="119" l="1"/>
  <c r="A313" i="119" s="1"/>
  <c r="D312" i="119"/>
  <c r="C312" i="119"/>
  <c r="B312" i="119"/>
  <c r="C313" i="119" l="1"/>
  <c r="B313" i="119"/>
  <c r="D313" i="119"/>
  <c r="F313" i="119"/>
  <c r="A314" i="119" s="1"/>
  <c r="F314" i="119" l="1"/>
  <c r="A315" i="119" s="1"/>
  <c r="D314" i="119"/>
  <c r="C314" i="119"/>
  <c r="B314" i="119"/>
  <c r="F315" i="119" l="1"/>
  <c r="A316" i="119" s="1"/>
  <c r="D315" i="119"/>
  <c r="C315" i="119"/>
  <c r="B315" i="119"/>
  <c r="D316" i="119" l="1"/>
  <c r="C316" i="119"/>
  <c r="B316" i="119"/>
  <c r="F316" i="119"/>
  <c r="A317" i="119" s="1"/>
  <c r="F317" i="119" l="1"/>
  <c r="A318" i="119" s="1"/>
  <c r="D317" i="119"/>
  <c r="C317" i="119"/>
  <c r="B317" i="119"/>
  <c r="B318" i="119" l="1"/>
  <c r="D318" i="119"/>
  <c r="F318" i="119"/>
  <c r="A319" i="119" s="1"/>
  <c r="C318" i="119"/>
  <c r="F319" i="119" l="1"/>
  <c r="A320" i="119" s="1"/>
  <c r="D319" i="119"/>
  <c r="C319" i="119"/>
  <c r="B319" i="119"/>
  <c r="F320" i="119" l="1"/>
  <c r="A321" i="119" s="1"/>
  <c r="D320" i="119"/>
  <c r="C320" i="119"/>
  <c r="B320" i="119"/>
  <c r="C321" i="119" l="1"/>
  <c r="B321" i="119"/>
  <c r="F321" i="119"/>
  <c r="A322" i="119" s="1"/>
  <c r="D321" i="119"/>
  <c r="F322" i="119" l="1"/>
  <c r="A323" i="119" s="1"/>
  <c r="D322" i="119"/>
  <c r="C322" i="119"/>
  <c r="B322" i="119"/>
  <c r="F323" i="119" l="1"/>
  <c r="A324" i="119" s="1"/>
  <c r="D323" i="119"/>
  <c r="B323" i="119"/>
  <c r="C323" i="119"/>
  <c r="D324" i="119" l="1"/>
  <c r="C324" i="119"/>
  <c r="B324" i="119"/>
  <c r="F324" i="119"/>
  <c r="A325" i="119" s="1"/>
  <c r="F325" i="119" l="1"/>
  <c r="A326" i="119" s="1"/>
  <c r="D325" i="119"/>
  <c r="C325" i="119"/>
  <c r="B325" i="119"/>
  <c r="B326" i="119" l="1"/>
  <c r="C326" i="119"/>
  <c r="F326" i="119"/>
  <c r="A327" i="119" s="1"/>
  <c r="D326" i="119"/>
  <c r="F327" i="119" l="1"/>
  <c r="A328" i="119" s="1"/>
  <c r="D327" i="119"/>
  <c r="C327" i="119"/>
  <c r="B327" i="119"/>
  <c r="F328" i="119" l="1"/>
  <c r="A329" i="119" s="1"/>
  <c r="D328" i="119"/>
  <c r="C328" i="119"/>
  <c r="B328" i="119"/>
  <c r="C329" i="119" l="1"/>
  <c r="B329" i="119"/>
  <c r="F329" i="119"/>
  <c r="A330" i="119" s="1"/>
  <c r="D329" i="119"/>
  <c r="F330" i="119" l="1"/>
  <c r="A331" i="119" s="1"/>
  <c r="D330" i="119"/>
  <c r="C330" i="119"/>
  <c r="B330" i="119"/>
  <c r="F331" i="119" l="1"/>
  <c r="A332" i="119" s="1"/>
  <c r="C331" i="119"/>
  <c r="D331" i="119"/>
  <c r="B331" i="119"/>
  <c r="D332" i="119" l="1"/>
  <c r="C332" i="119"/>
  <c r="B332" i="119"/>
  <c r="F332" i="119"/>
  <c r="A333" i="119" s="1"/>
  <c r="F333" i="119" l="1"/>
  <c r="A334" i="119" s="1"/>
  <c r="D333" i="119"/>
  <c r="C333" i="119"/>
  <c r="B333" i="119"/>
  <c r="B334" i="119" l="1"/>
  <c r="D334" i="119"/>
  <c r="C334" i="119"/>
  <c r="F334" i="119"/>
  <c r="A335" i="119" s="1"/>
  <c r="F335" i="119" l="1"/>
  <c r="A336" i="119" s="1"/>
  <c r="D335" i="119"/>
  <c r="C335" i="119"/>
  <c r="B335" i="119"/>
  <c r="F336" i="119" l="1"/>
  <c r="A337" i="119" s="1"/>
  <c r="D336" i="119"/>
  <c r="C336" i="119"/>
  <c r="B336" i="119"/>
  <c r="C337" i="119" l="1"/>
  <c r="B337" i="119"/>
  <c r="F337" i="119"/>
  <c r="A338" i="119" s="1"/>
  <c r="D337" i="119"/>
  <c r="F338" i="119" l="1"/>
  <c r="A339" i="119" s="1"/>
  <c r="D338" i="119"/>
  <c r="C338" i="119"/>
  <c r="B338" i="119"/>
  <c r="F339" i="119" l="1"/>
  <c r="A340" i="119" s="1"/>
  <c r="B339" i="119"/>
  <c r="D339" i="119"/>
  <c r="C339" i="119"/>
  <c r="D340" i="119" l="1"/>
  <c r="C340" i="119"/>
  <c r="B340" i="119"/>
  <c r="F340" i="119"/>
  <c r="A341" i="119" s="1"/>
  <c r="F341" i="119" l="1"/>
  <c r="A342" i="119" s="1"/>
  <c r="D341" i="119"/>
  <c r="C341" i="119"/>
  <c r="B341" i="119"/>
  <c r="B342" i="119" l="1"/>
  <c r="F342" i="119"/>
  <c r="A343" i="119" s="1"/>
  <c r="D342" i="119"/>
  <c r="C342" i="119"/>
  <c r="F343" i="119" l="1"/>
  <c r="A344" i="119" s="1"/>
  <c r="D343" i="119"/>
  <c r="C343" i="119"/>
  <c r="B343" i="119"/>
  <c r="F344" i="119" l="1"/>
  <c r="A345" i="119" s="1"/>
  <c r="D344" i="119"/>
  <c r="B344" i="119"/>
  <c r="C344" i="119"/>
  <c r="C345" i="119" l="1"/>
  <c r="B345" i="119"/>
  <c r="F345" i="119"/>
  <c r="A346" i="119" s="1"/>
  <c r="D345" i="119"/>
  <c r="F346" i="119" l="1"/>
  <c r="A347" i="119" s="1"/>
  <c r="D346" i="119"/>
  <c r="C346" i="119"/>
  <c r="B346" i="119"/>
  <c r="F347" i="119" l="1"/>
  <c r="A348" i="119" s="1"/>
  <c r="C347" i="119"/>
  <c r="B347" i="119"/>
  <c r="D347" i="119"/>
  <c r="D348" i="119" l="1"/>
  <c r="C348" i="119"/>
  <c r="B348" i="119"/>
  <c r="F348" i="119"/>
  <c r="A349" i="119" s="1"/>
  <c r="F349" i="119" l="1"/>
  <c r="A350" i="119" s="1"/>
  <c r="D349" i="119"/>
  <c r="C349" i="119"/>
  <c r="B349" i="119"/>
  <c r="F350" i="119" l="1"/>
  <c r="A351" i="119" s="1"/>
  <c r="D350" i="119"/>
  <c r="B350" i="119"/>
  <c r="C350" i="119"/>
  <c r="F351" i="119" l="1"/>
  <c r="A352" i="119" s="1"/>
  <c r="D351" i="119"/>
  <c r="C351" i="119"/>
  <c r="B351" i="119"/>
  <c r="C352" i="119" l="1"/>
  <c r="B352" i="119"/>
  <c r="D352" i="119"/>
  <c r="F352" i="119"/>
  <c r="A353" i="119" s="1"/>
  <c r="F353" i="119" l="1"/>
  <c r="A354" i="119" s="1"/>
  <c r="B353" i="119"/>
  <c r="D353" i="119"/>
  <c r="C353" i="119"/>
  <c r="F354" i="119" l="1"/>
  <c r="A355" i="119" s="1"/>
  <c r="D354" i="119"/>
  <c r="C354" i="119"/>
  <c r="B354" i="119"/>
  <c r="D355" i="119" l="1"/>
  <c r="C355" i="119"/>
  <c r="B355" i="119"/>
  <c r="F355" i="119"/>
  <c r="A356" i="119" s="1"/>
  <c r="F356" i="119" l="1"/>
  <c r="A357" i="119" s="1"/>
  <c r="C356" i="119"/>
  <c r="D356" i="119"/>
  <c r="B356" i="119"/>
  <c r="B357" i="119" l="1"/>
  <c r="F357" i="119"/>
  <c r="A358" i="119" s="1"/>
  <c r="D357" i="119"/>
  <c r="C357" i="119"/>
  <c r="F358" i="119" l="1"/>
  <c r="A359" i="119" s="1"/>
  <c r="D358" i="119"/>
  <c r="C358" i="119"/>
  <c r="B358" i="119"/>
  <c r="D359" i="119" l="1"/>
  <c r="F359" i="119"/>
  <c r="A360" i="119" s="1"/>
  <c r="C359" i="119"/>
  <c r="B359" i="119"/>
  <c r="C360" i="119" l="1"/>
  <c r="B360" i="119"/>
  <c r="F360" i="119"/>
  <c r="A361" i="119" s="1"/>
  <c r="D360" i="119"/>
  <c r="F361" i="119" l="1"/>
  <c r="A362" i="119" s="1"/>
  <c r="D361" i="119"/>
  <c r="B361" i="119"/>
  <c r="C361" i="119"/>
  <c r="F362" i="119" l="1"/>
  <c r="A363" i="119" s="1"/>
  <c r="C362" i="119"/>
  <c r="D362" i="119"/>
  <c r="B362" i="119"/>
  <c r="D363" i="119" l="1"/>
  <c r="C363" i="119"/>
  <c r="B363" i="119"/>
  <c r="F363" i="119"/>
  <c r="A364" i="119" s="1"/>
  <c r="F364" i="119" l="1"/>
  <c r="A365" i="119" s="1"/>
  <c r="C364" i="119"/>
  <c r="D364" i="119"/>
  <c r="B364" i="119"/>
  <c r="B365" i="119" l="1"/>
  <c r="F365" i="119"/>
  <c r="A366" i="119" s="1"/>
  <c r="D365" i="119"/>
  <c r="C365" i="119"/>
  <c r="F366" i="119" l="1"/>
  <c r="A367" i="119" s="1"/>
  <c r="D366" i="119"/>
  <c r="C366" i="119"/>
  <c r="B366" i="119"/>
  <c r="D367" i="119" l="1"/>
  <c r="F367" i="119"/>
  <c r="A368" i="119" s="1"/>
  <c r="C367" i="119"/>
  <c r="B367" i="119"/>
  <c r="C368" i="119" l="1"/>
  <c r="B368" i="119"/>
  <c r="F368" i="119"/>
  <c r="A369" i="119" s="1"/>
  <c r="D368" i="119"/>
  <c r="F369" i="119" l="1"/>
  <c r="A370" i="119" s="1"/>
  <c r="D369" i="119"/>
  <c r="B369" i="119"/>
  <c r="C369" i="119"/>
  <c r="F370" i="119" l="1"/>
  <c r="A371" i="119" s="1"/>
  <c r="D370" i="119"/>
  <c r="C370" i="119"/>
  <c r="B370" i="119"/>
  <c r="D371" i="119" l="1"/>
  <c r="C371" i="119"/>
  <c r="B371" i="119"/>
  <c r="F371" i="119"/>
  <c r="A372" i="119" s="1"/>
  <c r="F372" i="119" l="1"/>
  <c r="A373" i="119" s="1"/>
  <c r="C372" i="119"/>
  <c r="D372" i="119"/>
  <c r="B372" i="119"/>
  <c r="B373" i="119" l="1"/>
  <c r="F373" i="119"/>
  <c r="A374" i="119" s="1"/>
  <c r="D373" i="119"/>
  <c r="C373" i="119"/>
  <c r="F374" i="119" l="1"/>
  <c r="A375" i="119" s="1"/>
  <c r="D374" i="119"/>
  <c r="C374" i="119"/>
  <c r="B374" i="119"/>
  <c r="D375" i="119" l="1"/>
  <c r="F375" i="119"/>
  <c r="A376" i="119" s="1"/>
  <c r="C375" i="119"/>
  <c r="B375" i="119"/>
  <c r="C376" i="119" l="1"/>
  <c r="B376" i="119"/>
  <c r="F376" i="119"/>
  <c r="A377" i="119" s="1"/>
  <c r="D376" i="119"/>
  <c r="F377" i="119" l="1"/>
  <c r="A378" i="119" s="1"/>
  <c r="D377" i="119"/>
  <c r="B377" i="119"/>
  <c r="C377" i="119"/>
  <c r="F378" i="119" l="1"/>
  <c r="A379" i="119" s="1"/>
  <c r="B378" i="119"/>
  <c r="D378" i="119"/>
  <c r="C378" i="119"/>
  <c r="D379" i="119" l="1"/>
  <c r="C379" i="119"/>
  <c r="B379" i="119"/>
  <c r="F379" i="119"/>
  <c r="A380" i="119" s="1"/>
  <c r="F380" i="119" l="1"/>
  <c r="A381" i="119" s="1"/>
  <c r="C380" i="119"/>
  <c r="D380" i="119"/>
  <c r="B380" i="119"/>
  <c r="B381" i="119" l="1"/>
  <c r="F381" i="119"/>
  <c r="A382" i="119" s="1"/>
  <c r="D381" i="119"/>
  <c r="C381" i="119"/>
  <c r="F382" i="119" l="1"/>
  <c r="A383" i="119" s="1"/>
  <c r="D382" i="119"/>
  <c r="C382" i="119"/>
  <c r="B382" i="119"/>
  <c r="D383" i="119" l="1"/>
  <c r="F383" i="119"/>
  <c r="A384" i="119" s="1"/>
  <c r="C383" i="119"/>
  <c r="B383" i="119"/>
  <c r="C384" i="119" l="1"/>
  <c r="B384" i="119"/>
  <c r="F384" i="119"/>
  <c r="A385" i="119" s="1"/>
  <c r="D384" i="119"/>
  <c r="F385" i="119" l="1"/>
  <c r="A386" i="119" s="1"/>
  <c r="D385" i="119"/>
  <c r="B385" i="119"/>
  <c r="C385" i="119"/>
  <c r="F386" i="119" l="1"/>
  <c r="A387" i="119" s="1"/>
  <c r="D386" i="119"/>
  <c r="C386" i="119"/>
  <c r="B386" i="119"/>
  <c r="D387" i="119" l="1"/>
  <c r="C387" i="119"/>
  <c r="B387" i="119"/>
  <c r="F387" i="119"/>
  <c r="A388" i="119" s="1"/>
  <c r="F388" i="119" l="1"/>
  <c r="A389" i="119" s="1"/>
  <c r="C388" i="119"/>
  <c r="D388" i="119"/>
  <c r="B388" i="119"/>
  <c r="B389" i="119" l="1"/>
  <c r="F389" i="119"/>
  <c r="A390" i="119" s="1"/>
  <c r="D389" i="119"/>
  <c r="C389" i="119"/>
  <c r="F390" i="119" l="1"/>
  <c r="A391" i="119" s="1"/>
  <c r="D390" i="119"/>
  <c r="C390" i="119"/>
  <c r="B390" i="119"/>
  <c r="D391" i="119" l="1"/>
  <c r="F391" i="119"/>
  <c r="A392" i="119" s="1"/>
  <c r="C391" i="119"/>
  <c r="B391" i="119"/>
  <c r="C392" i="119" l="1"/>
  <c r="B392" i="119"/>
  <c r="F392" i="119"/>
  <c r="A393" i="119" s="1"/>
  <c r="D392" i="119"/>
  <c r="F393" i="119" l="1"/>
  <c r="A394" i="119" s="1"/>
  <c r="D393" i="119"/>
  <c r="B393" i="119"/>
  <c r="C393" i="119"/>
  <c r="F394" i="119" l="1"/>
  <c r="A395" i="119" s="1"/>
  <c r="C394" i="119"/>
  <c r="B394" i="119"/>
  <c r="D394" i="119"/>
  <c r="D395" i="119" l="1"/>
  <c r="C395" i="119"/>
  <c r="B395" i="119"/>
  <c r="F395" i="119"/>
  <c r="A396" i="119" s="1"/>
  <c r="F396" i="119" l="1"/>
  <c r="A397" i="119" s="1"/>
  <c r="C396" i="119"/>
  <c r="D396" i="119"/>
  <c r="B396" i="119"/>
  <c r="B397" i="119" l="1"/>
  <c r="F397" i="119"/>
  <c r="A398" i="119" s="1"/>
  <c r="C397" i="119"/>
  <c r="D397" i="119"/>
  <c r="F398" i="119" l="1"/>
  <c r="A399" i="119" s="1"/>
  <c r="D398" i="119"/>
  <c r="C398" i="119"/>
  <c r="B398" i="119"/>
  <c r="D399" i="119" l="1"/>
  <c r="F399" i="119"/>
  <c r="A400" i="119" s="1"/>
  <c r="C399" i="119"/>
  <c r="B399" i="119"/>
  <c r="C400" i="119" l="1"/>
  <c r="B400" i="119"/>
  <c r="F400" i="119"/>
  <c r="A401" i="119" s="1"/>
  <c r="D400" i="119"/>
  <c r="F401" i="119" l="1"/>
  <c r="A402" i="119" s="1"/>
  <c r="D401" i="119"/>
  <c r="B401" i="119"/>
  <c r="C401" i="119"/>
  <c r="B402" i="119" l="1"/>
  <c r="F402" i="119"/>
  <c r="A403" i="119" s="1"/>
  <c r="D402" i="119"/>
  <c r="C402" i="119"/>
  <c r="F403" i="119" l="1"/>
  <c r="A404" i="119" s="1"/>
  <c r="D403" i="119"/>
  <c r="C403" i="119"/>
  <c r="B403" i="119"/>
  <c r="F404" i="119" l="1"/>
  <c r="A405" i="119" s="1"/>
  <c r="B404" i="119"/>
  <c r="D404" i="119"/>
  <c r="C404" i="119"/>
  <c r="C405" i="119" l="1"/>
  <c r="F405" i="119"/>
  <c r="A406" i="119" s="1"/>
  <c r="D405" i="119"/>
  <c r="B405" i="119"/>
  <c r="D406" i="119" l="1"/>
  <c r="F406" i="119"/>
  <c r="A407" i="119" s="1"/>
  <c r="C406" i="119"/>
  <c r="B406" i="119"/>
  <c r="D407" i="119" l="1"/>
  <c r="C407" i="119"/>
  <c r="B407" i="119"/>
  <c r="F407" i="119"/>
  <c r="A408" i="119" s="1"/>
  <c r="D408" i="119" l="1"/>
  <c r="C408" i="119"/>
  <c r="F408" i="119"/>
  <c r="A409" i="119" s="1"/>
  <c r="B408" i="119"/>
  <c r="D409" i="119" l="1"/>
  <c r="C409" i="119"/>
  <c r="B409" i="119"/>
  <c r="F409" i="119"/>
  <c r="A410" i="119" s="1"/>
  <c r="B410" i="119" l="1"/>
  <c r="F410" i="119"/>
  <c r="A411" i="119" s="1"/>
  <c r="D410" i="119"/>
  <c r="C410" i="119"/>
  <c r="F411" i="119" l="1"/>
  <c r="A412" i="119" s="1"/>
  <c r="D411" i="119"/>
  <c r="C411" i="119"/>
  <c r="B411" i="119"/>
  <c r="F412" i="119" l="1"/>
  <c r="A413" i="119" s="1"/>
  <c r="D412" i="119"/>
  <c r="C412" i="119"/>
  <c r="B412" i="119"/>
  <c r="C413" i="119" l="1"/>
  <c r="B413" i="119"/>
  <c r="F413" i="119"/>
  <c r="A414" i="119" s="1"/>
  <c r="D413" i="119"/>
  <c r="F414" i="119" l="1"/>
  <c r="A415" i="119" s="1"/>
  <c r="D414" i="119"/>
  <c r="C414" i="119"/>
  <c r="B414" i="119"/>
  <c r="F415" i="119" l="1"/>
  <c r="A416" i="119" s="1"/>
  <c r="D415" i="119"/>
  <c r="B415" i="119"/>
  <c r="C415" i="119"/>
  <c r="D416" i="119" l="1"/>
  <c r="C416" i="119"/>
  <c r="F416" i="119"/>
  <c r="A417" i="119" s="1"/>
  <c r="B416" i="119"/>
  <c r="F417" i="119" l="1"/>
  <c r="A418" i="119" s="1"/>
  <c r="D417" i="119"/>
  <c r="B417" i="119"/>
  <c r="C417" i="119"/>
  <c r="B418" i="119" l="1"/>
  <c r="C418" i="119"/>
  <c r="F418" i="119"/>
  <c r="A419" i="119" s="1"/>
  <c r="D418" i="119"/>
  <c r="F419" i="119" l="1"/>
  <c r="A420" i="119" s="1"/>
  <c r="D419" i="119"/>
  <c r="B419" i="119"/>
  <c r="C419" i="119"/>
  <c r="C420" i="119" l="1"/>
  <c r="B420" i="119"/>
  <c r="F420" i="119"/>
  <c r="A421" i="119" s="1"/>
  <c r="D420" i="119"/>
  <c r="C421" i="119" l="1"/>
  <c r="B421" i="119"/>
  <c r="D421" i="119"/>
  <c r="F421" i="119"/>
  <c r="A422" i="119" s="1"/>
  <c r="F422" i="119" l="1"/>
  <c r="A423" i="119" s="1"/>
  <c r="C422" i="119"/>
  <c r="B422" i="119"/>
  <c r="D422" i="119"/>
  <c r="D423" i="119" l="1"/>
  <c r="F423" i="119"/>
  <c r="A424" i="119" s="1"/>
  <c r="C423" i="119"/>
  <c r="B423" i="119"/>
  <c r="D424" i="119" l="1"/>
  <c r="C424" i="119"/>
  <c r="F424" i="119"/>
  <c r="A425" i="119" s="1"/>
  <c r="B424" i="119"/>
  <c r="D425" i="119" l="1"/>
  <c r="F425" i="119"/>
  <c r="A426" i="119" s="1"/>
  <c r="B425" i="119"/>
  <c r="C425" i="119"/>
  <c r="B426" i="119" l="1"/>
  <c r="F426" i="119"/>
  <c r="A427" i="119" s="1"/>
  <c r="D426" i="119"/>
  <c r="C426" i="119"/>
  <c r="F427" i="119" l="1"/>
  <c r="A428" i="119" s="1"/>
  <c r="D427" i="119"/>
  <c r="C427" i="119"/>
  <c r="B427" i="119"/>
  <c r="F428" i="119" l="1"/>
  <c r="A429" i="119" s="1"/>
  <c r="D428" i="119"/>
  <c r="C428" i="119"/>
  <c r="B428" i="119"/>
  <c r="C429" i="119" l="1"/>
  <c r="B429" i="119"/>
  <c r="F429" i="119"/>
  <c r="A430" i="119" s="1"/>
  <c r="D429" i="119"/>
  <c r="F430" i="119" l="1"/>
  <c r="A431" i="119" s="1"/>
  <c r="D430" i="119"/>
  <c r="C430" i="119"/>
  <c r="B430" i="119"/>
  <c r="B431" i="119" l="1"/>
  <c r="F431" i="119"/>
  <c r="A432" i="119" s="1"/>
  <c r="D431" i="119"/>
  <c r="C431" i="119"/>
  <c r="D432" i="119" l="1"/>
  <c r="C432" i="119"/>
  <c r="F432" i="119"/>
  <c r="A433" i="119" s="1"/>
  <c r="B432" i="119"/>
  <c r="B433" i="119" l="1"/>
  <c r="F433" i="119"/>
  <c r="A434" i="119" s="1"/>
  <c r="D433" i="119"/>
  <c r="C433" i="119"/>
  <c r="B434" i="119" l="1"/>
  <c r="F434" i="119"/>
  <c r="A435" i="119" s="1"/>
  <c r="C434" i="119"/>
  <c r="D434" i="119"/>
  <c r="F435" i="119" l="1"/>
  <c r="A436" i="119" s="1"/>
  <c r="D435" i="119"/>
  <c r="B435" i="119"/>
  <c r="C435" i="119"/>
  <c r="F436" i="119" l="1"/>
  <c r="A437" i="119" s="1"/>
  <c r="C436" i="119"/>
  <c r="D436" i="119"/>
  <c r="B436" i="119"/>
  <c r="C437" i="119" l="1"/>
  <c r="B437" i="119"/>
  <c r="D437" i="119"/>
  <c r="F437" i="119"/>
  <c r="A438" i="119" s="1"/>
  <c r="F438" i="119" l="1"/>
  <c r="A439" i="119" s="1"/>
  <c r="C438" i="119"/>
  <c r="D438" i="119"/>
  <c r="B438" i="119"/>
  <c r="D439" i="119" l="1"/>
  <c r="C439" i="119"/>
  <c r="B439" i="119"/>
  <c r="F439" i="119"/>
  <c r="A440" i="119" s="1"/>
  <c r="D440" i="119" l="1"/>
  <c r="C440" i="119"/>
  <c r="F440" i="119"/>
  <c r="A441" i="119" s="1"/>
  <c r="B440" i="119"/>
  <c r="D441" i="119" l="1"/>
  <c r="C441" i="119"/>
  <c r="B441" i="119"/>
  <c r="F441" i="119"/>
  <c r="A442" i="119" s="1"/>
  <c r="B442" i="119" l="1"/>
  <c r="F442" i="119"/>
  <c r="A443" i="119" s="1"/>
  <c r="D442" i="119"/>
  <c r="C442" i="119"/>
  <c r="F443" i="119" l="1"/>
  <c r="A444" i="119" s="1"/>
  <c r="D443" i="119"/>
  <c r="C443" i="119"/>
  <c r="B443" i="119"/>
  <c r="F444" i="119" l="1"/>
  <c r="A445" i="119" s="1"/>
  <c r="D444" i="119"/>
  <c r="C444" i="119"/>
  <c r="B444" i="119"/>
  <c r="C445" i="119" l="1"/>
  <c r="B445" i="119"/>
  <c r="F445" i="119"/>
  <c r="A446" i="119" s="1"/>
  <c r="D445" i="119"/>
  <c r="F446" i="119" l="1"/>
  <c r="A447" i="119" s="1"/>
  <c r="D446" i="119"/>
  <c r="C446" i="119"/>
  <c r="B446" i="119"/>
  <c r="F447" i="119" l="1"/>
  <c r="A448" i="119" s="1"/>
  <c r="D447" i="119"/>
  <c r="B447" i="119"/>
  <c r="C447" i="119"/>
  <c r="D448" i="119" l="1"/>
  <c r="C448" i="119"/>
  <c r="F448" i="119"/>
  <c r="A449" i="119" s="1"/>
  <c r="B448" i="119"/>
  <c r="F449" i="119" l="1"/>
  <c r="A450" i="119" s="1"/>
  <c r="D449" i="119"/>
  <c r="B449" i="119"/>
  <c r="C449" i="119"/>
  <c r="B450" i="119" l="1"/>
  <c r="C450" i="119"/>
  <c r="F450" i="119"/>
  <c r="A451" i="119" s="1"/>
  <c r="D450" i="119"/>
  <c r="F451" i="119" l="1"/>
  <c r="A452" i="119" s="1"/>
  <c r="D451" i="119"/>
  <c r="B451" i="119"/>
  <c r="C451" i="119"/>
  <c r="C452" i="119" l="1"/>
  <c r="B452" i="119"/>
  <c r="F452" i="119"/>
  <c r="A453" i="119" s="1"/>
  <c r="D452" i="119"/>
  <c r="C453" i="119" l="1"/>
  <c r="B453" i="119"/>
  <c r="F453" i="119"/>
  <c r="A454" i="119" s="1"/>
  <c r="D453" i="119"/>
  <c r="F454" i="119" l="1"/>
  <c r="A455" i="119" s="1"/>
  <c r="D454" i="119"/>
  <c r="C454" i="119"/>
  <c r="B454" i="119"/>
  <c r="B455" i="119" l="1"/>
  <c r="F455" i="119"/>
  <c r="A456" i="119" s="1"/>
  <c r="D455" i="119"/>
  <c r="C455" i="119"/>
  <c r="D456" i="119" l="1"/>
  <c r="C456" i="119"/>
  <c r="B456" i="119"/>
  <c r="F456" i="119"/>
  <c r="A457" i="119" s="1"/>
  <c r="F457" i="119" l="1"/>
  <c r="A458" i="119" s="1"/>
  <c r="C457" i="119"/>
  <c r="B457" i="119"/>
  <c r="D457" i="119"/>
  <c r="B458" i="119" l="1"/>
  <c r="F458" i="119"/>
  <c r="A459" i="119" s="1"/>
  <c r="D458" i="119"/>
  <c r="C458" i="119"/>
  <c r="F459" i="119" l="1"/>
  <c r="A460" i="119" s="1"/>
  <c r="D459" i="119"/>
  <c r="C459" i="119"/>
  <c r="B459" i="119"/>
  <c r="C460" i="119" l="1"/>
  <c r="B460" i="119"/>
  <c r="F460" i="119"/>
  <c r="A461" i="119" s="1"/>
  <c r="D460" i="119"/>
  <c r="C461" i="119" l="1"/>
  <c r="F461" i="119"/>
  <c r="A462" i="119" s="1"/>
  <c r="D461" i="119"/>
  <c r="B461" i="119"/>
  <c r="F462" i="119" l="1"/>
  <c r="A463" i="119" s="1"/>
  <c r="D462" i="119"/>
  <c r="C462" i="119"/>
  <c r="B462" i="119"/>
  <c r="D463" i="119" l="1"/>
  <c r="C463" i="119"/>
  <c r="B463" i="119"/>
  <c r="F463" i="119"/>
  <c r="A464" i="119" s="1"/>
  <c r="D464" i="119" l="1"/>
  <c r="C464" i="119"/>
  <c r="F464" i="119"/>
  <c r="A465" i="119" s="1"/>
  <c r="B464" i="119"/>
  <c r="C465" i="119" l="1"/>
  <c r="B465" i="119"/>
  <c r="F465" i="119"/>
  <c r="A466" i="119" s="1"/>
  <c r="D465" i="119"/>
  <c r="B466" i="119" l="1"/>
  <c r="F466" i="119"/>
  <c r="A467" i="119" s="1"/>
  <c r="C466" i="119"/>
  <c r="D466" i="119"/>
  <c r="F467" i="119" l="1"/>
  <c r="A468" i="119" s="1"/>
  <c r="B467" i="119"/>
  <c r="D467" i="119"/>
  <c r="C467" i="119"/>
  <c r="F468" i="119" l="1"/>
  <c r="A469" i="119" s="1"/>
  <c r="D468" i="119"/>
  <c r="C468" i="119"/>
  <c r="B468" i="119"/>
  <c r="C469" i="119" l="1"/>
  <c r="B469" i="119"/>
  <c r="F469" i="119"/>
  <c r="A470" i="119" s="1"/>
  <c r="D469" i="119"/>
  <c r="F470" i="119" l="1"/>
  <c r="A471" i="119" s="1"/>
  <c r="D470" i="119"/>
  <c r="C470" i="119"/>
  <c r="B470" i="119"/>
  <c r="F471" i="119" l="1"/>
  <c r="A472" i="119" s="1"/>
  <c r="D471" i="119"/>
  <c r="C471" i="119"/>
  <c r="B471" i="119"/>
  <c r="D472" i="119" l="1"/>
  <c r="F472" i="119"/>
  <c r="A473" i="119" s="1"/>
  <c r="C472" i="119"/>
  <c r="B472" i="119"/>
  <c r="F473" i="119" l="1"/>
  <c r="A474" i="119" s="1"/>
  <c r="C473" i="119"/>
  <c r="D473" i="119"/>
  <c r="B473" i="119"/>
  <c r="B474" i="119" l="1"/>
  <c r="D474" i="119"/>
  <c r="C474" i="119"/>
  <c r="F474" i="119"/>
  <c r="A475" i="119" s="1"/>
  <c r="F475" i="119" l="1"/>
  <c r="A476" i="119" s="1"/>
  <c r="D475" i="119"/>
  <c r="C475" i="119"/>
  <c r="B475" i="119"/>
  <c r="C476" i="119" l="1"/>
  <c r="B476" i="119"/>
  <c r="D476" i="119"/>
  <c r="F476" i="119"/>
  <c r="A477" i="119" s="1"/>
  <c r="C477" i="119" l="1"/>
  <c r="F477" i="119"/>
  <c r="A478" i="119" s="1"/>
  <c r="D477" i="119"/>
  <c r="B477" i="119"/>
  <c r="B478" i="119" l="1"/>
  <c r="C478" i="119"/>
  <c r="F478" i="119"/>
  <c r="A479" i="119" s="1"/>
  <c r="D478" i="119"/>
  <c r="F479" i="119" l="1"/>
  <c r="A480" i="119" s="1"/>
  <c r="D479" i="119"/>
  <c r="B479" i="119"/>
  <c r="C479" i="119"/>
  <c r="D480" i="119" l="1"/>
  <c r="C480" i="119"/>
  <c r="F480" i="119"/>
  <c r="A481" i="119" s="1"/>
  <c r="B480" i="119"/>
  <c r="F481" i="119" l="1"/>
  <c r="A482" i="119" s="1"/>
  <c r="D481" i="119"/>
  <c r="C481" i="119"/>
  <c r="B481" i="119"/>
  <c r="B482" i="119" l="1"/>
  <c r="C482" i="119"/>
  <c r="F482" i="119"/>
  <c r="A483" i="119" s="1"/>
  <c r="D482" i="119"/>
  <c r="F483" i="119" l="1"/>
  <c r="A484" i="119" s="1"/>
  <c r="D483" i="119"/>
  <c r="C483" i="119"/>
  <c r="B483" i="119"/>
  <c r="C484" i="119" l="1"/>
  <c r="B484" i="119"/>
  <c r="D484" i="119"/>
  <c r="F484" i="119"/>
  <c r="A485" i="119" s="1"/>
  <c r="C485" i="119" l="1"/>
  <c r="B485" i="119"/>
  <c r="F485" i="119"/>
  <c r="A486" i="119" s="1"/>
  <c r="D485" i="119"/>
  <c r="F486" i="119" l="1"/>
  <c r="A487" i="119" s="1"/>
  <c r="C486" i="119"/>
  <c r="B486" i="119"/>
  <c r="D486" i="119"/>
  <c r="D487" i="119" l="1"/>
  <c r="C487" i="119"/>
  <c r="B487" i="119"/>
  <c r="F487" i="119"/>
  <c r="A488" i="119" s="1"/>
  <c r="D488" i="119" l="1"/>
  <c r="C488" i="119"/>
  <c r="F488" i="119"/>
  <c r="A489" i="119" s="1"/>
  <c r="B488" i="119"/>
  <c r="F489" i="119" l="1"/>
  <c r="A490" i="119" s="1"/>
  <c r="C489" i="119"/>
  <c r="D489" i="119"/>
  <c r="B489" i="119"/>
  <c r="B490" i="119" l="1"/>
  <c r="F490" i="119"/>
  <c r="A491" i="119" s="1"/>
  <c r="D490" i="119"/>
  <c r="C490" i="119"/>
  <c r="F491" i="119" l="1"/>
  <c r="A492" i="119" s="1"/>
  <c r="D491" i="119"/>
  <c r="B491" i="119"/>
  <c r="C491" i="119"/>
  <c r="F492" i="119" l="1"/>
  <c r="A493" i="119" s="1"/>
  <c r="D492" i="119"/>
  <c r="C492" i="119"/>
  <c r="B492" i="119"/>
  <c r="C493" i="119" l="1"/>
  <c r="B493" i="119"/>
  <c r="F493" i="119"/>
  <c r="A494" i="119" s="1"/>
  <c r="D493" i="119"/>
  <c r="F494" i="119" l="1"/>
  <c r="A495" i="119" s="1"/>
  <c r="D494" i="119"/>
  <c r="C494" i="119"/>
  <c r="B494" i="119"/>
  <c r="B495" i="119" l="1"/>
  <c r="C495" i="119"/>
  <c r="F495" i="119"/>
  <c r="A496" i="119" s="1"/>
  <c r="D495" i="119"/>
  <c r="D496" i="119" l="1"/>
  <c r="C496" i="119"/>
  <c r="F496" i="119"/>
  <c r="A497" i="119" s="1"/>
  <c r="B496" i="119"/>
  <c r="F497" i="119" l="1"/>
  <c r="A498" i="119" s="1"/>
  <c r="B497" i="119"/>
  <c r="C497" i="119"/>
  <c r="D497" i="119"/>
  <c r="B498" i="119" l="1"/>
  <c r="D498" i="119"/>
  <c r="F498" i="119"/>
  <c r="A499" i="119" s="1"/>
  <c r="C498" i="119"/>
  <c r="F499" i="119" l="1"/>
  <c r="A500" i="119" s="1"/>
  <c r="D499" i="119"/>
  <c r="C499" i="119"/>
  <c r="B499" i="119"/>
  <c r="F500" i="119" l="1"/>
  <c r="A501" i="119" s="1"/>
  <c r="B500" i="119"/>
  <c r="D500" i="119"/>
  <c r="C500" i="119"/>
  <c r="C501" i="119" l="1"/>
  <c r="B501" i="119"/>
  <c r="F501" i="119"/>
  <c r="A502" i="119" s="1"/>
  <c r="D501" i="119"/>
  <c r="F502" i="119" l="1"/>
  <c r="A503" i="119" s="1"/>
  <c r="D502" i="119"/>
  <c r="B502" i="119"/>
  <c r="C502" i="119"/>
  <c r="D503" i="119" l="1"/>
  <c r="F503" i="119"/>
  <c r="A504" i="119" s="1"/>
  <c r="C503" i="119"/>
  <c r="B503" i="119"/>
  <c r="D504" i="119" l="1"/>
  <c r="C504" i="119"/>
  <c r="B504" i="119"/>
  <c r="F504" i="119"/>
  <c r="A505" i="119" s="1"/>
  <c r="F505" i="119" l="1"/>
  <c r="A506" i="119" s="1"/>
  <c r="B505" i="119"/>
  <c r="D505" i="119"/>
  <c r="C505" i="119"/>
  <c r="B506" i="119" l="1"/>
  <c r="F506" i="119"/>
  <c r="A507" i="119" s="1"/>
  <c r="C506" i="119"/>
  <c r="D506" i="119"/>
  <c r="F507" i="119" l="1"/>
  <c r="A508" i="119" s="1"/>
  <c r="D507" i="119"/>
  <c r="C507" i="119"/>
  <c r="B507" i="119"/>
  <c r="D508" i="119" l="1"/>
  <c r="F508" i="119"/>
  <c r="A509" i="119" s="1"/>
  <c r="C508" i="119"/>
  <c r="B508" i="119"/>
  <c r="C509" i="119" l="1"/>
  <c r="B509" i="119"/>
  <c r="F509" i="119"/>
  <c r="A510" i="119" s="1"/>
  <c r="D509" i="119"/>
  <c r="F510" i="119" l="1"/>
  <c r="A511" i="119" s="1"/>
  <c r="D510" i="119"/>
  <c r="B510" i="119"/>
  <c r="C510" i="119"/>
  <c r="F511" i="119" l="1"/>
  <c r="A512" i="119" s="1"/>
  <c r="C511" i="119"/>
  <c r="D511" i="119"/>
  <c r="B511" i="119"/>
  <c r="D512" i="119" l="1"/>
  <c r="C512" i="119"/>
  <c r="B512" i="119"/>
  <c r="F512" i="119"/>
  <c r="A513" i="119" s="1"/>
  <c r="F513" i="119" l="1"/>
  <c r="A514" i="119" s="1"/>
  <c r="D513" i="119"/>
  <c r="C513" i="119"/>
  <c r="B513" i="119"/>
  <c r="B514" i="119" l="1"/>
  <c r="F514" i="119"/>
  <c r="A515" i="119" s="1"/>
  <c r="D514" i="119"/>
  <c r="C514" i="119"/>
  <c r="F515" i="119" l="1"/>
  <c r="A516" i="119" s="1"/>
  <c r="D515" i="119"/>
  <c r="C515" i="119"/>
  <c r="B515" i="119"/>
  <c r="F516" i="119" l="1"/>
  <c r="A517" i="119" s="1"/>
  <c r="C516" i="119"/>
  <c r="D516" i="119"/>
  <c r="B516" i="119"/>
  <c r="C517" i="119" l="1"/>
  <c r="B517" i="119"/>
  <c r="F517" i="119"/>
  <c r="A518" i="119" s="1"/>
  <c r="D517" i="119"/>
  <c r="F518" i="119" l="1"/>
  <c r="A519" i="119" s="1"/>
  <c r="D518" i="119"/>
  <c r="C518" i="119"/>
  <c r="B518" i="119"/>
  <c r="F519" i="119" l="1"/>
  <c r="A520" i="119" s="1"/>
  <c r="D519" i="119"/>
  <c r="B519" i="119"/>
  <c r="C519" i="119"/>
  <c r="D520" i="119" l="1"/>
  <c r="C520" i="119"/>
  <c r="B520" i="119"/>
  <c r="F520" i="119"/>
  <c r="A521" i="119" s="1"/>
  <c r="F521" i="119" l="1"/>
  <c r="A522" i="119" s="1"/>
  <c r="C521" i="119"/>
  <c r="B521" i="119"/>
  <c r="D521" i="119"/>
  <c r="B522" i="119" l="1"/>
  <c r="F522" i="119"/>
  <c r="A523" i="119" s="1"/>
  <c r="D522" i="119"/>
  <c r="C522" i="119"/>
  <c r="F523" i="119" l="1"/>
  <c r="A524" i="119" s="1"/>
  <c r="D523" i="119"/>
  <c r="C523" i="119"/>
  <c r="B523" i="119"/>
  <c r="F524" i="119" l="1"/>
  <c r="A525" i="119" s="1"/>
  <c r="D524" i="119"/>
  <c r="B524" i="119"/>
  <c r="C524" i="119"/>
  <c r="C525" i="119" l="1"/>
  <c r="B525" i="119"/>
  <c r="D525" i="119"/>
  <c r="F525" i="119"/>
  <c r="A526" i="119" s="1"/>
  <c r="F526" i="119" l="1"/>
  <c r="A527" i="119" s="1"/>
  <c r="D526" i="119"/>
  <c r="C526" i="119"/>
  <c r="B526" i="119"/>
  <c r="F527" i="119" l="1"/>
  <c r="A528" i="119" s="1"/>
  <c r="D527" i="119"/>
  <c r="B527" i="119"/>
  <c r="C527" i="119"/>
  <c r="C528" i="119" l="1"/>
  <c r="F528" i="119"/>
  <c r="A529" i="119" s="1"/>
  <c r="D528" i="119"/>
  <c r="B528" i="119"/>
  <c r="F529" i="119" l="1"/>
  <c r="A530" i="119" s="1"/>
  <c r="B529" i="119"/>
  <c r="C529" i="119"/>
  <c r="D529" i="119"/>
  <c r="D530" i="119" l="1"/>
  <c r="B530" i="119"/>
  <c r="F530" i="119"/>
  <c r="A531" i="119" s="1"/>
  <c r="C530" i="119"/>
  <c r="F531" i="119" l="1"/>
  <c r="A532" i="119" s="1"/>
  <c r="D531" i="119"/>
  <c r="C531" i="119"/>
  <c r="B531" i="119"/>
  <c r="B532" i="119" l="1"/>
  <c r="F532" i="119"/>
  <c r="A533" i="119" s="1"/>
  <c r="C532" i="119"/>
  <c r="D532" i="119"/>
  <c r="F533" i="119" l="1"/>
  <c r="A534" i="119" s="1"/>
  <c r="C533" i="119"/>
  <c r="B533" i="119"/>
  <c r="D533" i="119"/>
  <c r="F534" i="119" l="1"/>
  <c r="A535" i="119" s="1"/>
  <c r="D534" i="119"/>
  <c r="C534" i="119"/>
  <c r="B534" i="119"/>
  <c r="C535" i="119" l="1"/>
  <c r="B535" i="119"/>
  <c r="D535" i="119"/>
  <c r="F535" i="119"/>
  <c r="A536" i="119" s="1"/>
  <c r="D536" i="119" l="1"/>
  <c r="C536" i="119"/>
  <c r="B536" i="119"/>
  <c r="F536" i="119"/>
  <c r="A537" i="119" s="1"/>
  <c r="F537" i="119" l="1"/>
  <c r="A538" i="119" s="1"/>
  <c r="D537" i="119"/>
  <c r="C537" i="119"/>
  <c r="B537" i="119"/>
  <c r="D538" i="119" l="1"/>
  <c r="B538" i="119"/>
  <c r="C538" i="119"/>
  <c r="F538" i="119"/>
  <c r="A539" i="119" s="1"/>
  <c r="F539" i="119" l="1"/>
  <c r="A540" i="119" s="1"/>
  <c r="D539" i="119"/>
  <c r="C539" i="119"/>
  <c r="B539" i="119"/>
  <c r="B540" i="119" l="1"/>
  <c r="F540" i="119"/>
  <c r="A541" i="119" s="1"/>
  <c r="D540" i="119"/>
  <c r="C540" i="119"/>
  <c r="F541" i="119" l="1"/>
  <c r="A542" i="119" s="1"/>
  <c r="C541" i="119"/>
  <c r="B541" i="119"/>
  <c r="D541" i="119"/>
  <c r="F542" i="119" l="1"/>
  <c r="A543" i="119" s="1"/>
  <c r="D542" i="119"/>
  <c r="B542" i="119"/>
  <c r="C542" i="119"/>
  <c r="C543" i="119" l="1"/>
  <c r="F543" i="119"/>
  <c r="A544" i="119" s="1"/>
  <c r="D543" i="119"/>
  <c r="B543" i="119"/>
  <c r="D544" i="119" l="1"/>
  <c r="C544" i="119"/>
  <c r="B544" i="119"/>
  <c r="F544" i="119"/>
  <c r="A545" i="119" s="1"/>
  <c r="F545" i="119" l="1"/>
  <c r="A546" i="119" s="1"/>
  <c r="D545" i="119"/>
  <c r="B545" i="119"/>
  <c r="C545" i="119"/>
  <c r="D546" i="119" l="1"/>
  <c r="B546" i="119"/>
  <c r="F546" i="119"/>
  <c r="A547" i="119" s="1"/>
  <c r="C546" i="119"/>
  <c r="F547" i="119" l="1"/>
  <c r="A548" i="119" s="1"/>
  <c r="D547" i="119"/>
  <c r="C547" i="119"/>
  <c r="B547" i="119"/>
  <c r="B548" i="119" l="1"/>
  <c r="C548" i="119"/>
  <c r="D548" i="119"/>
  <c r="F548" i="119"/>
  <c r="A549" i="119" s="1"/>
  <c r="F549" i="119" l="1"/>
  <c r="A550" i="119" s="1"/>
  <c r="C549" i="119"/>
  <c r="B549" i="119"/>
  <c r="D549" i="119"/>
  <c r="F550" i="119" l="1"/>
  <c r="A551" i="119" s="1"/>
  <c r="D550" i="119"/>
  <c r="C550" i="119"/>
  <c r="B550" i="119"/>
  <c r="C551" i="119" l="1"/>
  <c r="B551" i="119"/>
  <c r="D551" i="119"/>
  <c r="F551" i="119"/>
  <c r="A552" i="119" s="1"/>
  <c r="D552" i="119" l="1"/>
  <c r="C552" i="119"/>
  <c r="B552" i="119"/>
  <c r="F552" i="119"/>
  <c r="A553" i="119" s="1"/>
  <c r="F553" i="119" l="1"/>
  <c r="A554" i="119" s="1"/>
  <c r="D553" i="119"/>
  <c r="C553" i="119"/>
  <c r="B553" i="119"/>
  <c r="D554" i="119" l="1"/>
  <c r="B554" i="119"/>
  <c r="C554" i="119"/>
  <c r="F554" i="119"/>
  <c r="A555" i="119" s="1"/>
  <c r="F555" i="119" l="1"/>
  <c r="A556" i="119" s="1"/>
  <c r="D555" i="119"/>
  <c r="C555" i="119"/>
  <c r="B555" i="119"/>
  <c r="B556" i="119" l="1"/>
  <c r="F556" i="119"/>
  <c r="A557" i="119" s="1"/>
  <c r="D556" i="119"/>
  <c r="C556" i="119"/>
  <c r="F557" i="119" l="1"/>
  <c r="A558" i="119" s="1"/>
  <c r="C557" i="119"/>
  <c r="B557" i="119"/>
  <c r="D557" i="119"/>
  <c r="F558" i="119" l="1"/>
  <c r="A559" i="119" s="1"/>
  <c r="D558" i="119"/>
  <c r="C558" i="119"/>
  <c r="B558" i="119"/>
  <c r="C559" i="119" l="1"/>
  <c r="F559" i="119"/>
  <c r="A560" i="119" s="1"/>
  <c r="D559" i="119"/>
  <c r="B559" i="119"/>
  <c r="D560" i="119" l="1"/>
  <c r="C560" i="119"/>
  <c r="B560" i="119"/>
  <c r="F560" i="119"/>
  <c r="A561" i="119" s="1"/>
  <c r="F561" i="119" l="1"/>
  <c r="A562" i="119" s="1"/>
  <c r="B561" i="119"/>
  <c r="C561" i="119"/>
  <c r="D561" i="119"/>
  <c r="D562" i="119" l="1"/>
  <c r="B562" i="119"/>
  <c r="F562" i="119"/>
  <c r="A563" i="119" s="1"/>
  <c r="C562" i="119"/>
  <c r="F563" i="119" l="1"/>
  <c r="A564" i="119" s="1"/>
  <c r="D563" i="119"/>
  <c r="C563" i="119"/>
  <c r="B563" i="119"/>
  <c r="B564" i="119" l="1"/>
  <c r="F564" i="119"/>
  <c r="A565" i="119" s="1"/>
  <c r="C564" i="119"/>
  <c r="D564" i="119"/>
  <c r="F565" i="119" l="1"/>
  <c r="A566" i="119" s="1"/>
  <c r="C565" i="119"/>
  <c r="B565" i="119"/>
  <c r="D565" i="119"/>
  <c r="F566" i="119" l="1"/>
  <c r="A567" i="119" s="1"/>
  <c r="D566" i="119"/>
  <c r="C566" i="119"/>
  <c r="B566" i="119"/>
  <c r="C567" i="119" l="1"/>
  <c r="B567" i="119"/>
  <c r="D567" i="119"/>
  <c r="F567" i="119"/>
  <c r="A568" i="119" s="1"/>
  <c r="D568" i="119" l="1"/>
  <c r="C568" i="119"/>
  <c r="B568" i="119"/>
  <c r="F568" i="119"/>
  <c r="A569" i="119" s="1"/>
  <c r="F569" i="119" l="1"/>
  <c r="A570" i="119" s="1"/>
  <c r="D569" i="119"/>
  <c r="C569" i="119"/>
  <c r="B569" i="119"/>
  <c r="D570" i="119" l="1"/>
  <c r="B570" i="119"/>
  <c r="C570" i="119"/>
  <c r="F570" i="119"/>
  <c r="A571" i="119" s="1"/>
  <c r="F571" i="119" l="1"/>
  <c r="A572" i="119" s="1"/>
  <c r="D571" i="119"/>
  <c r="C571" i="119"/>
  <c r="B571" i="119"/>
  <c r="B572" i="119" l="1"/>
  <c r="F572" i="119"/>
  <c r="A573" i="119" s="1"/>
  <c r="D572" i="119"/>
  <c r="C572" i="119"/>
  <c r="F573" i="119" l="1"/>
  <c r="A574" i="119" s="1"/>
  <c r="C573" i="119"/>
  <c r="B573" i="119"/>
  <c r="D573" i="119"/>
  <c r="F574" i="119" l="1"/>
  <c r="A575" i="119" s="1"/>
  <c r="D574" i="119"/>
  <c r="B574" i="119"/>
  <c r="C574" i="119"/>
  <c r="C575" i="119" l="1"/>
  <c r="F575" i="119"/>
  <c r="A576" i="119" s="1"/>
  <c r="D575" i="119"/>
  <c r="B575" i="119"/>
  <c r="D576" i="119" l="1"/>
  <c r="C576" i="119"/>
  <c r="B576" i="119"/>
  <c r="F576" i="119"/>
  <c r="A577" i="119" s="1"/>
  <c r="F577" i="119" l="1"/>
  <c r="A578" i="119" s="1"/>
  <c r="D577" i="119"/>
  <c r="B577" i="119"/>
  <c r="C577" i="119"/>
  <c r="D578" i="119" l="1"/>
  <c r="B578" i="119"/>
  <c r="F578" i="119"/>
  <c r="A579" i="119" s="1"/>
  <c r="C578" i="119"/>
  <c r="F579" i="119" l="1"/>
  <c r="A580" i="119" s="1"/>
  <c r="D579" i="119"/>
  <c r="C579" i="119"/>
  <c r="B579" i="119"/>
  <c r="B580" i="119" l="1"/>
  <c r="C580" i="119"/>
  <c r="D580" i="119"/>
  <c r="F580" i="119"/>
  <c r="A581" i="119" s="1"/>
  <c r="F581" i="119" l="1"/>
  <c r="A582" i="119" s="1"/>
  <c r="C581" i="119"/>
  <c r="B581" i="119"/>
  <c r="D581" i="119"/>
  <c r="F582" i="119" l="1"/>
  <c r="A583" i="119" s="1"/>
  <c r="D582" i="119"/>
  <c r="C582" i="119"/>
  <c r="B582" i="119"/>
  <c r="C583" i="119" l="1"/>
  <c r="B583" i="119"/>
  <c r="D583" i="119"/>
  <c r="F583" i="119"/>
  <c r="A584" i="119" s="1"/>
  <c r="D584" i="119" l="1"/>
  <c r="C584" i="119"/>
  <c r="B584" i="119"/>
  <c r="F584" i="119"/>
  <c r="A585" i="119" s="1"/>
  <c r="F585" i="119" l="1"/>
  <c r="A586" i="119" s="1"/>
  <c r="D585" i="119"/>
  <c r="C585" i="119"/>
  <c r="B585" i="119"/>
  <c r="D586" i="119" l="1"/>
  <c r="B586" i="119"/>
  <c r="C586" i="119"/>
  <c r="F586" i="119"/>
  <c r="A587" i="119" s="1"/>
  <c r="F587" i="119" l="1"/>
  <c r="A588" i="119" s="1"/>
  <c r="D587" i="119"/>
  <c r="C587" i="119"/>
  <c r="B587" i="119"/>
  <c r="B588" i="119" l="1"/>
  <c r="F588" i="119"/>
  <c r="A589" i="119" s="1"/>
  <c r="D588" i="119"/>
  <c r="C588" i="119"/>
  <c r="F589" i="119" l="1"/>
  <c r="A590" i="119" s="1"/>
  <c r="C589" i="119"/>
  <c r="B589" i="119"/>
  <c r="D589" i="119"/>
  <c r="F590" i="119" l="1"/>
  <c r="A591" i="119" s="1"/>
  <c r="D590" i="119"/>
  <c r="C590" i="119"/>
  <c r="B590" i="119"/>
  <c r="C591" i="119" l="1"/>
  <c r="F591" i="119"/>
  <c r="A592" i="119" s="1"/>
  <c r="D591" i="119"/>
  <c r="B591" i="119"/>
  <c r="D592" i="119" l="1"/>
  <c r="C592" i="119"/>
  <c r="B592" i="119"/>
  <c r="F592" i="119"/>
  <c r="A593" i="119" s="1"/>
  <c r="F593" i="119" l="1"/>
  <c r="A594" i="119" s="1"/>
  <c r="B593" i="119"/>
  <c r="C593" i="119"/>
  <c r="D593" i="119"/>
  <c r="D594" i="119" l="1"/>
  <c r="B594" i="119"/>
  <c r="F594" i="119"/>
  <c r="A595" i="119" s="1"/>
  <c r="C594" i="119"/>
  <c r="F595" i="119" l="1"/>
  <c r="A596" i="119" s="1"/>
  <c r="D595" i="119"/>
  <c r="C595" i="119"/>
  <c r="B595" i="119"/>
  <c r="B596" i="119" l="1"/>
  <c r="F596" i="119"/>
  <c r="A597" i="119" s="1"/>
  <c r="C596" i="119"/>
  <c r="D596" i="119"/>
  <c r="F597" i="119" l="1"/>
  <c r="A598" i="119" s="1"/>
  <c r="C597" i="119"/>
  <c r="B597" i="119"/>
  <c r="D597" i="119"/>
  <c r="F598" i="119" l="1"/>
  <c r="A599" i="119" s="1"/>
  <c r="D598" i="119"/>
  <c r="C598" i="119"/>
  <c r="B598" i="119"/>
  <c r="C599" i="119" l="1"/>
  <c r="B599" i="119"/>
  <c r="D599" i="119"/>
  <c r="F599" i="119"/>
  <c r="A600" i="119" s="1"/>
  <c r="D600" i="119" l="1"/>
  <c r="C600" i="119"/>
  <c r="B600" i="119"/>
  <c r="F600" i="119"/>
  <c r="A601" i="119" s="1"/>
  <c r="F601" i="119" l="1"/>
  <c r="A602" i="119" s="1"/>
  <c r="D601" i="119"/>
  <c r="C601" i="119"/>
  <c r="B601" i="119"/>
  <c r="D602" i="119" l="1"/>
  <c r="B602" i="119"/>
  <c r="C602" i="119"/>
  <c r="F602" i="119"/>
  <c r="A603" i="119" s="1"/>
  <c r="F603" i="119" l="1"/>
  <c r="A604" i="119" s="1"/>
  <c r="D603" i="119"/>
  <c r="C603" i="119"/>
  <c r="B603" i="119"/>
  <c r="B604" i="119" l="1"/>
  <c r="F604" i="119"/>
  <c r="A605" i="119" s="1"/>
  <c r="D604" i="119"/>
  <c r="C604" i="119"/>
  <c r="F605" i="119" l="1"/>
  <c r="A606" i="119" s="1"/>
  <c r="C605" i="119"/>
  <c r="B605" i="119"/>
  <c r="D605" i="119"/>
  <c r="F606" i="119" l="1"/>
  <c r="A607" i="119" s="1"/>
  <c r="D606" i="119"/>
  <c r="B606" i="119"/>
  <c r="C606" i="119"/>
  <c r="C607" i="119" l="1"/>
  <c r="F607" i="119"/>
  <c r="A608" i="119" s="1"/>
  <c r="D607" i="119"/>
  <c r="B607" i="119"/>
  <c r="D608" i="119" l="1"/>
  <c r="C608" i="119"/>
  <c r="B608" i="119"/>
  <c r="F608" i="119"/>
  <c r="A609" i="119" s="1"/>
  <c r="F609" i="119" l="1"/>
  <c r="A610" i="119" s="1"/>
  <c r="D609" i="119"/>
  <c r="B609" i="119"/>
  <c r="C609" i="119"/>
  <c r="D610" i="119" l="1"/>
  <c r="B610" i="119"/>
  <c r="F610" i="119"/>
  <c r="A611" i="119" s="1"/>
  <c r="C610" i="119"/>
  <c r="F611" i="119" l="1"/>
  <c r="A612" i="119" s="1"/>
  <c r="D611" i="119"/>
  <c r="C611" i="119"/>
  <c r="B611" i="119"/>
  <c r="B612" i="119" l="1"/>
  <c r="C612" i="119"/>
  <c r="D612" i="119"/>
  <c r="F612" i="119"/>
  <c r="A613" i="119" s="1"/>
  <c r="F613" i="119" l="1"/>
  <c r="A614" i="119" s="1"/>
  <c r="C613" i="119"/>
  <c r="B613" i="119"/>
  <c r="D613" i="119"/>
  <c r="F614" i="119" l="1"/>
  <c r="A615" i="119" s="1"/>
  <c r="D614" i="119"/>
  <c r="C614" i="119"/>
  <c r="B614" i="119"/>
  <c r="C615" i="119" l="1"/>
  <c r="B615" i="119"/>
  <c r="D615" i="119"/>
  <c r="F615" i="119"/>
  <c r="A616" i="119" s="1"/>
  <c r="D616" i="119" l="1"/>
  <c r="C616" i="119"/>
  <c r="B616" i="119"/>
  <c r="F616" i="119"/>
  <c r="A617" i="119" s="1"/>
  <c r="F617" i="119" l="1"/>
  <c r="A618" i="119" s="1"/>
  <c r="D617" i="119"/>
  <c r="C617" i="119"/>
  <c r="B617" i="119"/>
  <c r="D618" i="119" l="1"/>
  <c r="B618" i="119"/>
  <c r="C618" i="119"/>
  <c r="F618" i="119"/>
  <c r="A619" i="119" s="1"/>
  <c r="F619" i="119" l="1"/>
  <c r="A620" i="119" s="1"/>
  <c r="D619" i="119"/>
  <c r="C619" i="119"/>
  <c r="B619" i="119"/>
  <c r="B620" i="119" l="1"/>
  <c r="F620" i="119"/>
  <c r="A621" i="119" s="1"/>
  <c r="D620" i="119"/>
  <c r="C620" i="119"/>
  <c r="F621" i="119" l="1"/>
  <c r="A622" i="119" s="1"/>
  <c r="C621" i="119"/>
  <c r="B621" i="119"/>
  <c r="D621" i="119"/>
  <c r="F622" i="119" l="1"/>
  <c r="A623" i="119" s="1"/>
  <c r="D622" i="119"/>
  <c r="C622" i="119"/>
  <c r="B622" i="119"/>
  <c r="C623" i="119" l="1"/>
  <c r="F623" i="119"/>
  <c r="A624" i="119" s="1"/>
  <c r="D623" i="119"/>
  <c r="B623" i="119"/>
  <c r="D624" i="119" l="1"/>
  <c r="C624" i="119"/>
  <c r="B624" i="119"/>
  <c r="F624" i="119"/>
  <c r="A625" i="119" s="1"/>
  <c r="B625" i="119" l="1"/>
  <c r="C625" i="119"/>
  <c r="D625" i="119"/>
  <c r="F625" i="119"/>
  <c r="A626" i="119" s="1"/>
  <c r="F626" i="119" l="1"/>
  <c r="A627" i="119" s="1"/>
  <c r="C626" i="119"/>
  <c r="D626" i="119"/>
  <c r="B626" i="119"/>
  <c r="D627" i="119" l="1"/>
  <c r="C627" i="119"/>
  <c r="F627" i="119"/>
  <c r="A628" i="119" s="1"/>
  <c r="B627" i="119"/>
  <c r="C628" i="119" l="1"/>
  <c r="B628" i="119"/>
  <c r="F628" i="119"/>
  <c r="A629" i="119" s="1"/>
  <c r="D628" i="119"/>
  <c r="F629" i="119" l="1"/>
  <c r="A630" i="119" s="1"/>
  <c r="D629" i="119"/>
  <c r="B629" i="119"/>
  <c r="C629" i="119"/>
  <c r="F630" i="119" l="1"/>
  <c r="A631" i="119" s="1"/>
  <c r="D630" i="119"/>
  <c r="B630" i="119"/>
  <c r="C630" i="119"/>
  <c r="D631" i="119" l="1"/>
  <c r="C631" i="119"/>
  <c r="B631" i="119"/>
  <c r="F631" i="119"/>
  <c r="A632" i="119" s="1"/>
  <c r="F632" i="119" l="1"/>
  <c r="A633" i="119" s="1"/>
  <c r="C632" i="119"/>
  <c r="D632" i="119"/>
  <c r="B632" i="119"/>
  <c r="B633" i="119" l="1"/>
  <c r="F633" i="119"/>
  <c r="A634" i="119" s="1"/>
  <c r="C633" i="119"/>
  <c r="D633" i="119"/>
  <c r="F634" i="119" l="1"/>
  <c r="A635" i="119" s="1"/>
  <c r="D634" i="119"/>
  <c r="C634" i="119"/>
  <c r="B634" i="119"/>
  <c r="D635" i="119" l="1"/>
  <c r="F635" i="119"/>
  <c r="A636" i="119" s="1"/>
  <c r="C635" i="119"/>
  <c r="B635" i="119"/>
  <c r="C636" i="119" l="1"/>
  <c r="B636" i="119"/>
  <c r="D636" i="119"/>
  <c r="F636" i="119"/>
  <c r="A637" i="119" s="1"/>
  <c r="F637" i="119" l="1"/>
  <c r="A638" i="119" s="1"/>
  <c r="D637" i="119"/>
  <c r="B637" i="119"/>
  <c r="C637" i="119"/>
  <c r="F638" i="119" l="1"/>
  <c r="A639" i="119" s="1"/>
  <c r="D638" i="119"/>
  <c r="B638" i="119"/>
  <c r="C638" i="119"/>
  <c r="D639" i="119" l="1"/>
  <c r="C639" i="119"/>
  <c r="B639" i="119"/>
  <c r="F639" i="119"/>
  <c r="A640" i="119" s="1"/>
  <c r="F640" i="119" l="1"/>
  <c r="A641" i="119" s="1"/>
  <c r="C640" i="119"/>
  <c r="B640" i="119"/>
  <c r="D640" i="119"/>
  <c r="B641" i="119" l="1"/>
  <c r="F641" i="119"/>
  <c r="A642" i="119" s="1"/>
  <c r="D641" i="119"/>
  <c r="C641" i="119"/>
  <c r="F642" i="119" l="1"/>
  <c r="A643" i="119" s="1"/>
  <c r="D642" i="119"/>
  <c r="C642" i="119"/>
  <c r="B642" i="119"/>
  <c r="D643" i="119" l="1"/>
  <c r="C643" i="119"/>
  <c r="B643" i="119"/>
  <c r="F643" i="119"/>
  <c r="A644" i="119" s="1"/>
  <c r="C644" i="119" l="1"/>
  <c r="B644" i="119"/>
  <c r="F644" i="119"/>
  <c r="A645" i="119" s="1"/>
  <c r="D644" i="119"/>
  <c r="F645" i="119" l="1"/>
  <c r="A646" i="119" s="1"/>
  <c r="D645" i="119"/>
  <c r="B645" i="119"/>
  <c r="C645" i="119"/>
  <c r="F646" i="119" l="1"/>
  <c r="A647" i="119" s="1"/>
  <c r="D646" i="119"/>
  <c r="B646" i="119"/>
  <c r="C646" i="119"/>
  <c r="D647" i="119" l="1"/>
  <c r="C647" i="119"/>
  <c r="B647" i="119"/>
  <c r="F647" i="119"/>
  <c r="A648" i="119" s="1"/>
  <c r="F648" i="119" l="1"/>
  <c r="A649" i="119" s="1"/>
  <c r="C648" i="119"/>
  <c r="D648" i="119"/>
  <c r="B648" i="119"/>
  <c r="B649" i="119" l="1"/>
  <c r="F649" i="119"/>
  <c r="A650" i="119" s="1"/>
  <c r="C649" i="119"/>
  <c r="D649" i="119"/>
  <c r="F650" i="119" l="1"/>
  <c r="A651" i="119" s="1"/>
  <c r="D650" i="119"/>
  <c r="C650" i="119"/>
  <c r="B650" i="119"/>
  <c r="D651" i="119" l="1"/>
  <c r="F651" i="119"/>
  <c r="A652" i="119" s="1"/>
  <c r="C651" i="119"/>
  <c r="B651" i="119"/>
  <c r="C652" i="119" l="1"/>
  <c r="B652" i="119"/>
  <c r="D652" i="119"/>
  <c r="F652" i="119"/>
  <c r="A653" i="119" s="1"/>
  <c r="F653" i="119" l="1"/>
  <c r="A654" i="119" s="1"/>
  <c r="D653" i="119"/>
  <c r="B653" i="119"/>
  <c r="C653" i="119"/>
  <c r="F654" i="119" l="1"/>
  <c r="A655" i="119" s="1"/>
  <c r="D654" i="119"/>
  <c r="C654" i="119"/>
  <c r="B654" i="119"/>
  <c r="D655" i="119" l="1"/>
  <c r="C655" i="119"/>
  <c r="B655" i="119"/>
  <c r="F655" i="119"/>
  <c r="A656" i="119" s="1"/>
  <c r="F656" i="119" l="1"/>
  <c r="A657" i="119" s="1"/>
  <c r="C656" i="119"/>
  <c r="B656" i="119"/>
  <c r="D656" i="119"/>
  <c r="B657" i="119" l="1"/>
  <c r="F657" i="119"/>
  <c r="A658" i="119" s="1"/>
  <c r="D657" i="119"/>
  <c r="C657" i="119"/>
  <c r="F658" i="119" l="1"/>
  <c r="A659" i="119" s="1"/>
  <c r="D658" i="119"/>
  <c r="C658" i="119"/>
  <c r="B658" i="119"/>
  <c r="D659" i="119" l="1"/>
  <c r="C659" i="119"/>
  <c r="F659" i="119"/>
  <c r="A660" i="119" s="1"/>
  <c r="B659" i="119"/>
  <c r="C660" i="119" l="1"/>
  <c r="B660" i="119"/>
  <c r="F660" i="119"/>
  <c r="A661" i="119" s="1"/>
  <c r="D660" i="119"/>
  <c r="F661" i="119" l="1"/>
  <c r="A662" i="119" s="1"/>
  <c r="D661" i="119"/>
  <c r="B661" i="119"/>
  <c r="C661" i="119"/>
  <c r="F662" i="119" l="1"/>
  <c r="A663" i="119" s="1"/>
  <c r="D662" i="119"/>
  <c r="B662" i="119"/>
  <c r="C662" i="119"/>
  <c r="D663" i="119" l="1"/>
  <c r="C663" i="119"/>
  <c r="B663" i="119"/>
  <c r="F663" i="119"/>
  <c r="A664" i="119" s="1"/>
  <c r="F664" i="119" l="1"/>
  <c r="A665" i="119" s="1"/>
  <c r="C664" i="119"/>
  <c r="D664" i="119"/>
  <c r="B664" i="119"/>
  <c r="B665" i="119" l="1"/>
  <c r="F665" i="119"/>
  <c r="A666" i="119" s="1"/>
  <c r="C665" i="119"/>
  <c r="D665" i="119"/>
  <c r="F666" i="119" l="1"/>
  <c r="A667" i="119" s="1"/>
  <c r="D666" i="119"/>
  <c r="C666" i="119"/>
  <c r="B666" i="119"/>
  <c r="D667" i="119" l="1"/>
  <c r="F667" i="119"/>
  <c r="A668" i="119" s="1"/>
  <c r="C667" i="119"/>
  <c r="B667" i="119"/>
  <c r="C668" i="119" l="1"/>
  <c r="B668" i="119"/>
  <c r="D668" i="119"/>
  <c r="F668" i="119"/>
  <c r="A669" i="119" s="1"/>
  <c r="F669" i="119" l="1"/>
  <c r="A670" i="119" s="1"/>
  <c r="D669" i="119"/>
  <c r="B669" i="119"/>
  <c r="C669" i="119"/>
  <c r="F670" i="119" l="1"/>
  <c r="A671" i="119" s="1"/>
  <c r="D670" i="119"/>
  <c r="C670" i="119"/>
  <c r="B670" i="119"/>
  <c r="D671" i="119" l="1"/>
  <c r="C671" i="119"/>
  <c r="B671" i="119"/>
  <c r="F671" i="119"/>
  <c r="A672" i="119" s="1"/>
  <c r="F672" i="119" l="1"/>
  <c r="A673" i="119" s="1"/>
  <c r="C672" i="119"/>
  <c r="B672" i="119"/>
  <c r="D672" i="119"/>
  <c r="B673" i="119" l="1"/>
  <c r="F673" i="119"/>
  <c r="A674" i="119" s="1"/>
  <c r="D673" i="119"/>
  <c r="C673" i="119"/>
  <c r="F674" i="119" l="1"/>
  <c r="A675" i="119" s="1"/>
  <c r="D674" i="119"/>
  <c r="C674" i="119"/>
  <c r="B674" i="119"/>
  <c r="D675" i="119" l="1"/>
  <c r="C675" i="119"/>
  <c r="B675" i="119"/>
  <c r="F675" i="119"/>
  <c r="A676" i="119" s="1"/>
  <c r="C676" i="119" l="1"/>
  <c r="B676" i="119"/>
  <c r="D676" i="119"/>
  <c r="F676" i="119"/>
  <c r="A677" i="119" s="1"/>
  <c r="F677" i="119" l="1"/>
  <c r="A678" i="119" s="1"/>
  <c r="D677" i="119"/>
  <c r="B677" i="119"/>
  <c r="C677" i="119"/>
  <c r="B678" i="119" l="1"/>
  <c r="F678" i="119"/>
  <c r="A679" i="119" s="1"/>
  <c r="C678" i="119"/>
  <c r="D678" i="119"/>
  <c r="F679" i="119" l="1"/>
  <c r="A680" i="119" s="1"/>
  <c r="D679" i="119"/>
  <c r="C679" i="119"/>
  <c r="B679" i="119"/>
  <c r="F680" i="119" l="1"/>
  <c r="A681" i="119" s="1"/>
  <c r="C680" i="119"/>
  <c r="D680" i="119"/>
  <c r="B680" i="119"/>
  <c r="D681" i="119" l="1"/>
  <c r="C681" i="119"/>
  <c r="B681" i="119"/>
  <c r="F681" i="119"/>
  <c r="A682" i="119" s="1"/>
  <c r="F682" i="119" l="1"/>
  <c r="A683" i="119" s="1"/>
  <c r="D682" i="119"/>
  <c r="C682" i="119"/>
  <c r="B682" i="119"/>
  <c r="B683" i="119" l="1"/>
  <c r="D683" i="119"/>
  <c r="F683" i="119"/>
  <c r="A684" i="119" s="1"/>
  <c r="C683" i="119"/>
  <c r="F684" i="119" l="1"/>
  <c r="A685" i="119" s="1"/>
  <c r="D684" i="119"/>
  <c r="C684" i="119"/>
  <c r="B684" i="119"/>
  <c r="F685" i="119" l="1"/>
  <c r="A686" i="119" s="1"/>
  <c r="D685" i="119"/>
  <c r="B685" i="119"/>
  <c r="C685" i="119"/>
  <c r="C686" i="119" l="1"/>
  <c r="B686" i="119"/>
  <c r="F686" i="119"/>
  <c r="A687" i="119" s="1"/>
  <c r="D686" i="119"/>
  <c r="F687" i="119" l="1"/>
  <c r="A688" i="119" s="1"/>
  <c r="D687" i="119"/>
  <c r="C687" i="119"/>
  <c r="B687" i="119"/>
  <c r="F688" i="119" l="1"/>
  <c r="A689" i="119" s="1"/>
  <c r="C688" i="119"/>
  <c r="D688" i="119"/>
  <c r="B688" i="119"/>
  <c r="D689" i="119" l="1"/>
  <c r="C689" i="119"/>
  <c r="B689" i="119"/>
  <c r="F689" i="119"/>
  <c r="A690" i="119" s="1"/>
  <c r="F690" i="119" l="1"/>
  <c r="A691" i="119" s="1"/>
  <c r="D690" i="119"/>
  <c r="C690" i="119"/>
  <c r="B690" i="119"/>
  <c r="B691" i="119" l="1"/>
  <c r="D691" i="119"/>
  <c r="F691" i="119"/>
  <c r="A692" i="119" s="1"/>
  <c r="C691" i="119"/>
  <c r="F692" i="119" l="1"/>
  <c r="A693" i="119" s="1"/>
  <c r="D692" i="119"/>
  <c r="C692" i="119"/>
  <c r="B692" i="119"/>
  <c r="F693" i="119" l="1"/>
  <c r="A694" i="119" s="1"/>
  <c r="D693" i="119"/>
  <c r="B693" i="119"/>
  <c r="C693" i="119"/>
  <c r="C694" i="119" l="1"/>
  <c r="B694" i="119"/>
  <c r="F694" i="119"/>
  <c r="A695" i="119" s="1"/>
  <c r="D694" i="119"/>
  <c r="F695" i="119" l="1"/>
  <c r="A696" i="119" s="1"/>
  <c r="D695" i="119"/>
  <c r="C695" i="119"/>
  <c r="B695" i="119"/>
  <c r="F696" i="119" l="1"/>
  <c r="A697" i="119" s="1"/>
  <c r="D696" i="119"/>
  <c r="C696" i="119"/>
  <c r="B696" i="119"/>
  <c r="D697" i="119" l="1"/>
  <c r="C697" i="119"/>
  <c r="B697" i="119"/>
  <c r="F697" i="119"/>
  <c r="A698" i="119" s="1"/>
  <c r="F698" i="119" l="1"/>
  <c r="A699" i="119" s="1"/>
  <c r="D698" i="119"/>
  <c r="C698" i="119"/>
  <c r="B698" i="119"/>
  <c r="B699" i="119" l="1"/>
  <c r="F699" i="119"/>
  <c r="A700" i="119" s="1"/>
  <c r="D699" i="119"/>
  <c r="C699" i="119"/>
  <c r="F700" i="119" l="1"/>
  <c r="A701" i="119" s="1"/>
  <c r="D700" i="119"/>
  <c r="C700" i="119"/>
  <c r="B700" i="119"/>
  <c r="F701" i="119" l="1"/>
  <c r="A702" i="119" s="1"/>
  <c r="D701" i="119"/>
  <c r="C701" i="119"/>
  <c r="B701" i="119"/>
  <c r="C702" i="119" l="1"/>
  <c r="B702" i="119"/>
  <c r="F702" i="119"/>
  <c r="A703" i="119" s="1"/>
  <c r="D702" i="119"/>
  <c r="F703" i="119" l="1"/>
  <c r="A704" i="119" s="1"/>
  <c r="D703" i="119"/>
  <c r="C703" i="119"/>
  <c r="B703" i="119"/>
  <c r="F704" i="119" l="1"/>
  <c r="A705" i="119" s="1"/>
  <c r="D704" i="119"/>
  <c r="C704" i="119"/>
  <c r="B704" i="119"/>
  <c r="D705" i="119" l="1"/>
  <c r="C705" i="119"/>
  <c r="B705" i="119"/>
  <c r="F705" i="119"/>
  <c r="A706" i="119" s="1"/>
  <c r="F706" i="119" l="1"/>
  <c r="A707" i="119" s="1"/>
  <c r="D706" i="119"/>
  <c r="C706" i="119"/>
  <c r="B706" i="119"/>
  <c r="B707" i="119" l="1"/>
  <c r="F707" i="119"/>
  <c r="A708" i="119" s="1"/>
  <c r="D707" i="119"/>
  <c r="C707" i="119"/>
  <c r="F708" i="119" l="1"/>
  <c r="A709" i="119" s="1"/>
  <c r="D708" i="119"/>
  <c r="C708" i="119"/>
  <c r="B708" i="119"/>
  <c r="F709" i="119" l="1"/>
  <c r="A710" i="119" s="1"/>
  <c r="D709" i="119"/>
  <c r="C709" i="119"/>
  <c r="B709" i="119"/>
  <c r="C710" i="119" l="1"/>
  <c r="B710" i="119"/>
  <c r="F710" i="119"/>
  <c r="A711" i="119" s="1"/>
  <c r="D710" i="119"/>
  <c r="F711" i="119" l="1"/>
  <c r="A712" i="119" s="1"/>
  <c r="D711" i="119"/>
  <c r="C711" i="119"/>
  <c r="B711" i="119"/>
  <c r="F712" i="119" l="1"/>
  <c r="A713" i="119" s="1"/>
  <c r="D712" i="119"/>
  <c r="C712" i="119"/>
  <c r="B712" i="119"/>
  <c r="D713" i="119" l="1"/>
  <c r="C713" i="119"/>
  <c r="B713" i="119"/>
  <c r="F713" i="119"/>
  <c r="A714" i="119" s="1"/>
  <c r="F714" i="119" l="1"/>
  <c r="A715" i="119" s="1"/>
  <c r="D714" i="119"/>
  <c r="C714" i="119"/>
  <c r="B714" i="119"/>
  <c r="B715" i="119" l="1"/>
  <c r="F715" i="119"/>
  <c r="A716" i="119" s="1"/>
  <c r="D715" i="119"/>
  <c r="C715" i="119"/>
  <c r="F716" i="119" l="1"/>
  <c r="A717" i="119" s="1"/>
  <c r="D716" i="119"/>
  <c r="C716" i="119"/>
  <c r="B716" i="119"/>
  <c r="F717" i="119" l="1"/>
  <c r="A718" i="119" s="1"/>
  <c r="D717" i="119"/>
  <c r="C717" i="119"/>
  <c r="B717" i="119"/>
  <c r="C718" i="119" l="1"/>
  <c r="B718" i="119"/>
  <c r="F718" i="119"/>
  <c r="A719" i="119" s="1"/>
  <c r="D718" i="119"/>
  <c r="F719" i="119" l="1"/>
  <c r="A720" i="119" s="1"/>
  <c r="D719" i="119"/>
  <c r="C719" i="119"/>
  <c r="B719" i="119"/>
  <c r="F720" i="119" l="1"/>
  <c r="A721" i="119" s="1"/>
  <c r="D720" i="119"/>
  <c r="C720" i="119"/>
  <c r="B720" i="119"/>
  <c r="D721" i="119" l="1"/>
  <c r="C721" i="119"/>
  <c r="B721" i="119"/>
  <c r="F721" i="119"/>
  <c r="A722" i="119" s="1"/>
  <c r="F722" i="119" l="1"/>
  <c r="A723" i="119" s="1"/>
  <c r="D722" i="119"/>
  <c r="C722" i="119"/>
  <c r="B722" i="119"/>
  <c r="B723" i="119" l="1"/>
  <c r="F723" i="119"/>
  <c r="A724" i="119" s="1"/>
  <c r="D723" i="119"/>
  <c r="C723" i="119"/>
  <c r="F724" i="119" l="1"/>
  <c r="A725" i="119" s="1"/>
  <c r="D724" i="119"/>
  <c r="C724" i="119"/>
  <c r="B724" i="119"/>
  <c r="F725" i="119" l="1"/>
  <c r="A726" i="119" s="1"/>
  <c r="D725" i="119"/>
  <c r="C725" i="119"/>
  <c r="B725" i="119"/>
  <c r="C726" i="119" l="1"/>
  <c r="B726" i="119"/>
  <c r="F726" i="119"/>
  <c r="A727" i="119" s="1"/>
  <c r="D726" i="119"/>
  <c r="F727" i="119" l="1"/>
  <c r="A728" i="119" s="1"/>
  <c r="D727" i="119"/>
  <c r="C727" i="119"/>
  <c r="B727" i="119"/>
  <c r="F728" i="119" l="1"/>
  <c r="A729" i="119" s="1"/>
  <c r="D728" i="119"/>
  <c r="C728" i="119"/>
  <c r="B728" i="119"/>
  <c r="D729" i="119" l="1"/>
  <c r="C729" i="119"/>
  <c r="B729" i="119"/>
  <c r="F729" i="119"/>
  <c r="A730" i="119" s="1"/>
  <c r="F730" i="119" l="1"/>
  <c r="A731" i="119" s="1"/>
  <c r="D730" i="119"/>
  <c r="C730" i="119"/>
  <c r="B730" i="119"/>
  <c r="B731" i="119" l="1"/>
  <c r="F731" i="119"/>
  <c r="A732" i="119" s="1"/>
  <c r="D731" i="119"/>
  <c r="C731" i="119"/>
  <c r="F732" i="119" l="1"/>
  <c r="A733" i="119" s="1"/>
  <c r="D732" i="119"/>
  <c r="C732" i="119"/>
  <c r="B732" i="119"/>
  <c r="F733" i="119" l="1"/>
  <c r="A734" i="119" s="1"/>
  <c r="D733" i="119"/>
  <c r="C733" i="119"/>
  <c r="B733" i="119"/>
  <c r="C734" i="119" l="1"/>
  <c r="B734" i="119"/>
  <c r="F734" i="119"/>
  <c r="A735" i="119" s="1"/>
  <c r="D734" i="119"/>
  <c r="F735" i="119" l="1"/>
  <c r="A736" i="119" s="1"/>
  <c r="D735" i="119"/>
  <c r="C735" i="119"/>
  <c r="B735" i="119"/>
  <c r="F736" i="119" l="1"/>
  <c r="A737" i="119" s="1"/>
  <c r="D736" i="119"/>
  <c r="C736" i="119"/>
  <c r="B736" i="119"/>
  <c r="D737" i="119" l="1"/>
  <c r="C737" i="119"/>
  <c r="B737" i="119"/>
  <c r="F737" i="119"/>
  <c r="A738" i="119" s="1"/>
  <c r="F738" i="119" l="1"/>
  <c r="A739" i="119" s="1"/>
  <c r="D738" i="119"/>
  <c r="C738" i="119"/>
  <c r="B738" i="119"/>
  <c r="B739" i="119" l="1"/>
  <c r="F739" i="119"/>
  <c r="A740" i="119" s="1"/>
  <c r="D739" i="119"/>
  <c r="C739" i="119"/>
  <c r="F740" i="119" l="1"/>
  <c r="A741" i="119" s="1"/>
  <c r="D740" i="119"/>
  <c r="C740" i="119"/>
  <c r="B740" i="119"/>
  <c r="F741" i="119" l="1"/>
  <c r="A742" i="119" s="1"/>
  <c r="D741" i="119"/>
  <c r="C741" i="119"/>
  <c r="B741" i="119"/>
  <c r="C742" i="119" l="1"/>
  <c r="B742" i="119"/>
  <c r="F742" i="119"/>
  <c r="A743" i="119" s="1"/>
  <c r="D742" i="119"/>
  <c r="F743" i="119" l="1"/>
  <c r="A744" i="119" s="1"/>
  <c r="D743" i="119"/>
  <c r="C743" i="119"/>
  <c r="B743" i="119"/>
  <c r="F744" i="119" l="1"/>
  <c r="A745" i="119" s="1"/>
  <c r="D744" i="119"/>
  <c r="C744" i="119"/>
  <c r="B744" i="119"/>
  <c r="D745" i="119" l="1"/>
  <c r="C745" i="119"/>
  <c r="B745" i="119"/>
  <c r="F745" i="119"/>
  <c r="A746" i="119" s="1"/>
  <c r="F746" i="119" l="1"/>
  <c r="A747" i="119" s="1"/>
  <c r="D746" i="119"/>
  <c r="C746" i="119"/>
  <c r="B746" i="119"/>
  <c r="B747" i="119" l="1"/>
  <c r="F747" i="119"/>
  <c r="D747" i="119"/>
  <c r="D23" i="119" s="1"/>
  <c r="C747" i="119"/>
  <c r="D22" i="119" s="1"/>
  <c r="D19" i="119" a="1"/>
  <c r="D19" i="119" s="1"/>
  <c r="D21" i="119" l="1"/>
  <c r="D20" i="119"/>
  <c r="M18" i="25"/>
  <c r="M17" i="3"/>
  <c r="M18" i="44"/>
  <c r="M18" i="37"/>
  <c r="M18" i="131"/>
  <c r="M18" i="45"/>
  <c r="M18" i="36"/>
  <c r="M18" i="46"/>
  <c r="M18" i="24"/>
  <c r="M18" i="21"/>
  <c r="M18" i="43"/>
  <c r="M18" i="26"/>
  <c r="M18" i="40"/>
  <c r="M18" i="32"/>
  <c r="M18" i="19"/>
  <c r="M18" i="48"/>
  <c r="M18" i="23"/>
  <c r="M18" i="1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 Davis, CFF</author>
  </authors>
  <commentList>
    <comment ref="D47" authorId="0" shapeId="0" xr:uid="{0ECB0048-8873-4E5E-BF41-27427DAE52F4}">
      <text>
        <r>
          <rPr>
            <b/>
            <sz val="9"/>
            <color indexed="81"/>
            <rFont val="Tahoma"/>
            <family val="2"/>
          </rPr>
          <t>John T Davis, CFF:</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uthor>
    <author>Vertex42</author>
    <author>Maria</author>
  </authors>
  <commentList>
    <comment ref="H2" authorId="0" shapeId="0" xr:uid="{00000000-0006-0000-7600-000001000000}">
      <text>
        <r>
          <rPr>
            <sz val="10"/>
            <rFont val="Arial"/>
          </rPr>
          <t>Limited Use Policy
You may make archival copies and customize this template (the "Software") for personal and noncommercial use only.  This Software or any document including or derived from this Software may NOT be sold, distributed, published to an online gallery, or placed on a public server such as the internet without the express written permission of Vertex42 LLC.
You may not remove or alter any logo, trademark, copyright, disclaimer, brand, hyperlink, terms of use, attribution, or other proprietary notices or marks within this software.
We define "Personal use" as Non-Commercial use by you, your family, or by your close personal friends, on your own personal computer.
We define "Commercial use"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Caution: This spreadsheet is for educational and illustrative purposes only and should not be construed as financial advice. The results may not be exact, and may not apply to your specific situation. Please consult a qualified professional regarding financial decisions.
No Warranties
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Limitation of Liability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t>
        </r>
      </text>
    </comment>
    <comment ref="C7" authorId="1" shapeId="0" xr:uid="{00000000-0006-0000-7600-000002000000}">
      <text>
        <r>
          <rPr>
            <sz val="10"/>
            <rFont val="Arial"/>
          </rPr>
          <t>Retirement Date:
This date is used as the first date in the Payout Schedule and to calculate the Years Until Retirement.</t>
        </r>
      </text>
    </comment>
    <comment ref="C8" authorId="2" shapeId="0" xr:uid="{00000000-0006-0000-7600-000003000000}">
      <text>
        <r>
          <rPr>
            <sz val="10"/>
            <rFont val="Arial"/>
          </rPr>
          <t>Annual Interest Rate:
This spreadsheet assumes a fixed annual interest rate, though actual interest rates may vary. It also assumes that interest is earned tax free (such as inside an IRA).</t>
        </r>
      </text>
    </comment>
    <comment ref="C10" authorId="1" shapeId="0" xr:uid="{00000000-0006-0000-7600-000004000000}">
      <text>
        <r>
          <rPr>
            <sz val="10"/>
            <rFont val="Arial"/>
          </rPr>
          <t>First Withdrawal (in today's dollars):
Enter the amount you expect to withdraw in today's dollars. The Initial Withdrawal used in the Payout Schedule will be adjusted for inflation based on the number of Years Until Retirement.</t>
        </r>
      </text>
    </comment>
    <comment ref="C11" authorId="1" shapeId="0" xr:uid="{00000000-0006-0000-7600-000005000000}">
      <text>
        <r>
          <rPr>
            <sz val="10"/>
            <rFont val="Arial"/>
          </rPr>
          <t>Payment Type:
- This is used to specify whether the withdrawals are made at the beginning or end of each period.
- When you choose "Beginning of Period", the first payment is made at the end of period 0, which is the same as saying the beginning of period 1.</t>
        </r>
      </text>
    </comment>
    <comment ref="C12" authorId="1" shapeId="0" xr:uid="{00000000-0006-0000-7600-000006000000}">
      <text>
        <r>
          <rPr>
            <sz val="10"/>
            <rFont val="Arial"/>
          </rPr>
          <t>Annual Inflation Rate:
- This rate is used to gradually increase the withdrawal amount each period. It is also used to calculate the inflation-adjusted Initial Withdrawal.</t>
        </r>
      </text>
    </comment>
    <comment ref="C13" authorId="1" shapeId="0" xr:uid="{00000000-0006-0000-7600-000007000000}">
      <text>
        <r>
          <rPr>
            <sz val="10"/>
            <rFont val="Arial"/>
          </rPr>
          <t>Current Age:
- Entering your Current Age and the Date of Retirement makes it possible to estimate your age at the time of the last payment.</t>
        </r>
      </text>
    </comment>
    <comment ref="C18" authorId="1" shapeId="0" xr:uid="{00000000-0006-0000-7600-000008000000}">
      <text>
        <r>
          <rPr>
            <sz val="10"/>
            <rFont val="Arial"/>
          </rPr>
          <t>Initial Withdrawal:
- This is the amount used as the first withdrawal in the payout schedule. It is automatically inflation adjusted, based on the Years Until Retirement.
- If you do not want to use the inflation-adjusted Initial Withdrawal, then change the formula in this cell to reference the First Withdrawal value, or set the Inflation Rate to 0%.</t>
        </r>
      </text>
    </comment>
    <comment ref="C26" authorId="0" shapeId="0" xr:uid="{00000000-0006-0000-7600-000009000000}">
      <text>
        <r>
          <rPr>
            <sz val="10"/>
            <rFont val="Arial"/>
          </rPr>
          <t>Interest earned during the specified period. This spreadsheet assumes interest is earned tax free.</t>
        </r>
      </text>
    </comment>
    <comment ref="D26" authorId="0" shapeId="0" xr:uid="{00000000-0006-0000-7600-00000A000000}">
      <text>
        <r>
          <rPr>
            <sz val="10"/>
            <rFont val="Arial"/>
          </rPr>
          <t>Payout (Withdrawal):
- This is the amount paid or withdrawn at the end of the specified period. If you have entered an Annual Inflation Rate, you will notice that the Payout increases each period.
- When you set the Payment Type to "Beginning of Period", the first payment is made at the end of period 0, which is the same as saying the beginning of period 1.</t>
        </r>
      </text>
    </comment>
    <comment ref="E26" authorId="1" shapeId="0" xr:uid="{00000000-0006-0000-7600-00000B000000}">
      <text>
        <r>
          <rPr>
            <sz val="10"/>
            <rFont val="Arial"/>
          </rPr>
          <t>Additional Payout:
- If you want to withdraw an amount in addition to the scheduled payout, you can enter the value here.
- You can enter a negative value to subtract an amount from the normal payout.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<sst xmlns="http://schemas.openxmlformats.org/spreadsheetml/2006/main" count="4288" uniqueCount="1079">
  <si>
    <t>Retirement Income Analysis Prepared for:</t>
  </si>
  <si>
    <t>Mary Example</t>
  </si>
  <si>
    <t>Current Age</t>
  </si>
  <si>
    <t>Retirement Age</t>
  </si>
  <si>
    <t>No. Years Until Retirement</t>
  </si>
  <si>
    <t>Current Gross Monthly Job Income</t>
  </si>
  <si>
    <t>Annual Gross Job</t>
  </si>
  <si>
    <t xml:space="preserve">Monthly Net  Income Needed in Retirement = </t>
  </si>
  <si>
    <t>Equals Net Annual</t>
  </si>
  <si>
    <t>Target Gross Inc. =</t>
  </si>
  <si>
    <t>Listed below are Your Income Sources That Should Meet or Exceed Your Target Gross Income Listed Above</t>
  </si>
  <si>
    <t>Social Sec</t>
  </si>
  <si>
    <t>Taken at Age</t>
  </si>
  <si>
    <t>Annual Social Security Income =</t>
  </si>
  <si>
    <t>Other Income Sources</t>
  </si>
  <si>
    <t>Monthly</t>
  </si>
  <si>
    <t>Income Source by Name and Income Start Age</t>
  </si>
  <si>
    <t>Pension</t>
  </si>
  <si>
    <t>Description</t>
  </si>
  <si>
    <t>Other</t>
  </si>
  <si>
    <t>Total Projected Income</t>
  </si>
  <si>
    <t>(Minus) Your Projected Total Annual Gross Income</t>
  </si>
  <si>
    <t xml:space="preserve">A Pos. Number is a Surplus a Neg. Number is a Shortfall of Income </t>
  </si>
  <si>
    <t>Email this Report to:</t>
  </si>
  <si>
    <t>Current Living Expenses</t>
  </si>
  <si>
    <t>Target Retirement Age is 66 plus 8 months</t>
  </si>
  <si>
    <t>Year</t>
  </si>
  <si>
    <t>Her Age</t>
  </si>
  <si>
    <t>Michelle's Social Security</t>
  </si>
  <si>
    <t>Michelle's Employment</t>
  </si>
  <si>
    <t>Roll Fidelity  to New FIA IRA</t>
  </si>
  <si>
    <t>Total Annual Gross Income</t>
  </si>
  <si>
    <t>Wellness Rider Income</t>
  </si>
  <si>
    <t xml:space="preserve">Total Annual Gross Income with Wellness Rider </t>
  </si>
  <si>
    <t>Assumptions</t>
  </si>
  <si>
    <t xml:space="preserve">Eligibility Age 66+8 months + 1%COLA  </t>
  </si>
  <si>
    <t>Employment $5,333 per mo to age 66 + 8 months</t>
  </si>
  <si>
    <t>$131,619.09 + $9,213.13               7% Bonus = $140,829.22. Grow Income Rider at 7% turn on Income June 2025</t>
  </si>
  <si>
    <t xml:space="preserve">Your Retirement Income will be </t>
  </si>
  <si>
    <t>If you lose 2 of 6 ADL's Your American Equity Income will be double.(200%) for up to 5 years</t>
  </si>
  <si>
    <t xml:space="preserve">Income with Activated Wellness Rider  </t>
  </si>
  <si>
    <t>John Sample</t>
  </si>
  <si>
    <t>Cell Tel. Number</t>
  </si>
  <si>
    <t>630-539-9122</t>
  </si>
  <si>
    <t>email</t>
  </si>
  <si>
    <t>anthony@americaplanning.com</t>
  </si>
  <si>
    <t>Date of Birth</t>
  </si>
  <si>
    <t>Yr's to Retirement</t>
  </si>
  <si>
    <t>Current Emp. Mo Income</t>
  </si>
  <si>
    <t>Annual Employment  Income</t>
  </si>
  <si>
    <t>Net Monthly Income Needed in Retirement</t>
  </si>
  <si>
    <t>= Annual Net</t>
  </si>
  <si>
    <t xml:space="preserve"> = Gross Annual Living Expenses (25% for taxes added to net)</t>
  </si>
  <si>
    <t>Social Security</t>
  </si>
  <si>
    <t>Annual Soc Sec Amount</t>
  </si>
  <si>
    <t>Notes: Born 1943-1954 FRA = 66, Born 1955-1959 FRA = 66+2 mos per year, Born 1960&gt; FRA = 67</t>
  </si>
  <si>
    <t>Income for Life - Retirement Income Snapshot</t>
  </si>
  <si>
    <r>
      <rPr>
        <b/>
        <sz val="14"/>
        <rFont val="Arial"/>
        <family val="2"/>
      </rPr>
      <t>Instructions:</t>
    </r>
    <r>
      <rPr>
        <b/>
        <i/>
        <sz val="14"/>
        <rFont val="Arial"/>
        <family val="2"/>
      </rPr>
      <t xml:space="preserve"> </t>
    </r>
    <r>
      <rPr>
        <b/>
        <i/>
        <sz val="14"/>
        <color theme="9" tint="-0.249977111117893"/>
        <rFont val="Arial"/>
        <family val="2"/>
      </rPr>
      <t>Add Across and Total up Your Income Sources</t>
    </r>
    <r>
      <rPr>
        <b/>
        <i/>
        <sz val="14"/>
        <rFont val="Arial"/>
        <family val="2"/>
      </rPr>
      <t xml:space="preserve"> - </t>
    </r>
    <r>
      <rPr>
        <b/>
        <i/>
        <sz val="14"/>
        <color rgb="FFFF0000"/>
        <rFont val="Arial"/>
        <family val="2"/>
      </rPr>
      <t>Subtract Your Living Espenses</t>
    </r>
    <r>
      <rPr>
        <b/>
        <i/>
        <sz val="14"/>
        <rFont val="Arial"/>
        <family val="2"/>
      </rPr>
      <t xml:space="preserve"> = Your Goal is to have a Surplus of Income, </t>
    </r>
    <r>
      <rPr>
        <b/>
        <i/>
        <sz val="14"/>
        <color rgb="FFFF0000"/>
        <rFont val="Arial"/>
        <family val="2"/>
      </rPr>
      <t>not a (Shortage)</t>
    </r>
    <r>
      <rPr>
        <b/>
        <i/>
        <sz val="14"/>
        <rFont val="Arial"/>
        <family val="2"/>
      </rPr>
      <t xml:space="preserve"> </t>
    </r>
  </si>
  <si>
    <t>Age</t>
  </si>
  <si>
    <t>Years</t>
  </si>
  <si>
    <t>Social                Security</t>
  </si>
  <si>
    <t>Current Employment</t>
  </si>
  <si>
    <t xml:space="preserve">Second Employer </t>
  </si>
  <si>
    <t xml:space="preserve">Other           Starting Age                                        Pays $________  per year </t>
  </si>
  <si>
    <t xml:space="preserve">Pension Amount Per Year and  Starting Age </t>
  </si>
  <si>
    <t>Total            Annual Income            from Sources</t>
  </si>
  <si>
    <t xml:space="preserve">Subtract                Projected Living                Expenses                   </t>
  </si>
  <si>
    <r>
      <t xml:space="preserve">Equals the Difference either a </t>
    </r>
    <r>
      <rPr>
        <b/>
        <sz val="12"/>
        <rFont val="Arial"/>
        <family val="2"/>
      </rPr>
      <t>Surplus</t>
    </r>
    <r>
      <rPr>
        <b/>
        <sz val="10"/>
        <rFont val="Arial"/>
        <family val="2"/>
      </rPr>
      <t xml:space="preserve"> or        </t>
    </r>
    <r>
      <rPr>
        <b/>
        <sz val="12"/>
        <color rgb="FFFF0000"/>
        <rFont val="Arial"/>
        <family val="2"/>
      </rPr>
      <t>(Shortage)</t>
    </r>
    <r>
      <rPr>
        <b/>
        <sz val="10"/>
        <rFont val="Arial"/>
        <family val="2"/>
      </rPr>
      <t xml:space="preserve"> of Income</t>
    </r>
  </si>
  <si>
    <t>2020</t>
  </si>
  <si>
    <t>John T. Davis    tel. 847-592-5405    email:  john@AmericaPlanning.com</t>
  </si>
  <si>
    <r>
      <rPr>
        <sz val="10"/>
        <rFont val="Calibri"/>
        <family val="2"/>
      </rPr>
      <t xml:space="preserve">© </t>
    </r>
    <r>
      <rPr>
        <sz val="10"/>
        <rFont val="Arial"/>
        <family val="2"/>
      </rPr>
      <t>Copyright America United Wealth Planning 2020 All rights reserved</t>
    </r>
  </si>
  <si>
    <t>This Illustration offers no guarantees, it is based on information provided by third parties and client estimates of future income, it's for illustration purposes only.</t>
  </si>
  <si>
    <t>A</t>
  </si>
  <si>
    <t>B</t>
  </si>
  <si>
    <t>C</t>
  </si>
  <si>
    <t xml:space="preserve">Income Snapshot - Comparing No Hedge Plan with Hedge Plan 2 </t>
  </si>
  <si>
    <t xml:space="preserve">Annual Income Goal is: </t>
  </si>
  <si>
    <t>Current Emploment Income is $120,000.00 per year</t>
  </si>
  <si>
    <t>Income Projections</t>
  </si>
  <si>
    <t>No Hedge Plan Gross Income Projections</t>
  </si>
  <si>
    <t xml:space="preserve">Starting 2024 </t>
  </si>
  <si>
    <t>Her Survival- 83</t>
  </si>
  <si>
    <t>His Survival- 81</t>
  </si>
  <si>
    <t>Inc Goal</t>
  </si>
  <si>
    <r>
      <t xml:space="preserve">Income </t>
    </r>
    <r>
      <rPr>
        <b/>
        <sz val="11"/>
        <color theme="0"/>
        <rFont val="Wingdings"/>
      </rPr>
      <t>è</t>
    </r>
  </si>
  <si>
    <t>No Extra Money</t>
  </si>
  <si>
    <t xml:space="preserve">Surplus </t>
  </si>
  <si>
    <t>No LTC</t>
  </si>
  <si>
    <t>OR/Gap</t>
  </si>
  <si>
    <t>Gap</t>
  </si>
  <si>
    <t>Total of all Income sources starting 2024</t>
  </si>
  <si>
    <t>Hedge Plan 2 Gross Income Projections</t>
  </si>
  <si>
    <t>LTC</t>
  </si>
  <si>
    <t>Lose 2 of 6 ADL's</t>
  </si>
  <si>
    <t>150% of Annuity</t>
  </si>
  <si>
    <t>Income for 5 Yrs.</t>
  </si>
  <si>
    <t>Surplus</t>
  </si>
  <si>
    <t>for LTC</t>
  </si>
  <si>
    <r>
      <t xml:space="preserve">Deborah taking Social Security at Full Retirement Age: 66 </t>
    </r>
    <r>
      <rPr>
        <b/>
        <sz val="11"/>
        <rFont val="Calibri"/>
        <family val="2"/>
        <scheme val="minor"/>
      </rPr>
      <t>1/2</t>
    </r>
  </si>
  <si>
    <t>i</t>
  </si>
  <si>
    <t>Cash In Bank Total</t>
  </si>
  <si>
    <t xml:space="preserve">In 2015 Inflation was 1.9% </t>
  </si>
  <si>
    <t>Minus</t>
  </si>
  <si>
    <t xml:space="preserve">Your Money Now Buys this amount of Goods  Due to Inflation  </t>
  </si>
  <si>
    <t xml:space="preserve">In 2016 inflation was 1.3% </t>
  </si>
  <si>
    <t xml:space="preserve">Your Money Now Buys this amount of Goods  Due to Inflation </t>
  </si>
  <si>
    <t xml:space="preserve">In 2017 inflation was 2.1% </t>
  </si>
  <si>
    <t xml:space="preserve">In 2018 inflation was 2.4% </t>
  </si>
  <si>
    <t>In Only Four Years You Safely Lost Buying Power equal to</t>
  </si>
  <si>
    <t>2% Inflation Adjusted</t>
  </si>
  <si>
    <t>3% Inflation Adjusted</t>
  </si>
  <si>
    <t>4% Inflation Adjusted</t>
  </si>
  <si>
    <t>After Year 1</t>
  </si>
  <si>
    <t>After Year 2</t>
  </si>
  <si>
    <t>After Year 3</t>
  </si>
  <si>
    <t>After Year 4</t>
  </si>
  <si>
    <t>After Year 5</t>
  </si>
  <si>
    <t>After Year 6</t>
  </si>
  <si>
    <t>After Year 7</t>
  </si>
  <si>
    <t>After Year 8</t>
  </si>
  <si>
    <t>After Year 9</t>
  </si>
  <si>
    <t>After Year 10</t>
  </si>
  <si>
    <t>After Year 11</t>
  </si>
  <si>
    <t>After Year 12</t>
  </si>
  <si>
    <t>After Year 13</t>
  </si>
  <si>
    <t>After Year 14</t>
  </si>
  <si>
    <t>After Year 15</t>
  </si>
  <si>
    <t>After Year 16</t>
  </si>
  <si>
    <t>After Year 17</t>
  </si>
  <si>
    <t>After Year 18</t>
  </si>
  <si>
    <t>After Year 19</t>
  </si>
  <si>
    <t>After Year 20</t>
  </si>
  <si>
    <t>After Year 21</t>
  </si>
  <si>
    <t>After Year 22</t>
  </si>
  <si>
    <t>After Year 23</t>
  </si>
  <si>
    <t>Today's Date</t>
  </si>
  <si>
    <t>Asset Summary</t>
  </si>
  <si>
    <t>Raymond and Diane Andracki</t>
  </si>
  <si>
    <t>Cash Accounts</t>
  </si>
  <si>
    <t>Account Number</t>
  </si>
  <si>
    <t>Anniversary</t>
  </si>
  <si>
    <t>Net Investment</t>
  </si>
  <si>
    <t>Current Value</t>
  </si>
  <si>
    <t>Sub Total</t>
  </si>
  <si>
    <t>Total</t>
  </si>
  <si>
    <t>Joint</t>
  </si>
  <si>
    <t>Alliant Checking</t>
  </si>
  <si>
    <t>Alliant Savings</t>
  </si>
  <si>
    <t>His</t>
  </si>
  <si>
    <t>Alliant CU Roth IRA</t>
  </si>
  <si>
    <t>Both</t>
  </si>
  <si>
    <t>West Suburban Savings</t>
  </si>
  <si>
    <t>Chase Checking</t>
  </si>
  <si>
    <t>Chase Savings</t>
  </si>
  <si>
    <t>Her</t>
  </si>
  <si>
    <t>Tradional IRA at JP Morgan</t>
  </si>
  <si>
    <t>Investment Accounts:</t>
  </si>
  <si>
    <t>Work 401k at Fidelity</t>
  </si>
  <si>
    <t>401k</t>
  </si>
  <si>
    <t>Walgreens Stock</t>
  </si>
  <si>
    <t>Green</t>
  </si>
  <si>
    <t>American Equity - Issue date</t>
  </si>
  <si>
    <t>Contract number</t>
  </si>
  <si>
    <t># 1355535</t>
  </si>
  <si>
    <t>Tel 1-888-221-1234</t>
  </si>
  <si>
    <t>Nationalwide Fixed Index Annuity</t>
  </si>
  <si>
    <t>Total Investments:</t>
  </si>
  <si>
    <t>Life Insurance</t>
  </si>
  <si>
    <t>Policy #</t>
  </si>
  <si>
    <t>Policy Date</t>
  </si>
  <si>
    <t>Annual Premium</t>
  </si>
  <si>
    <t>Cash Value</t>
  </si>
  <si>
    <t>Face Value</t>
  </si>
  <si>
    <t>Term life insuurance</t>
  </si>
  <si>
    <t>Total Cash Value</t>
  </si>
  <si>
    <t>Long Term Care Coverage:</t>
  </si>
  <si>
    <t>Policy Number</t>
  </si>
  <si>
    <t>Start Daily Benefit / Current Daily Benefit</t>
  </si>
  <si>
    <t>Benefit Period</t>
  </si>
  <si>
    <t>Elimination Period</t>
  </si>
  <si>
    <t>-</t>
  </si>
  <si>
    <t>Real Estate:</t>
  </si>
  <si>
    <t>Street Address</t>
  </si>
  <si>
    <t>City</t>
  </si>
  <si>
    <t>State</t>
  </si>
  <si>
    <t>Zip</t>
  </si>
  <si>
    <t>Mortgage</t>
  </si>
  <si>
    <t>Market Value</t>
  </si>
  <si>
    <t>Equity</t>
  </si>
  <si>
    <t>Home</t>
  </si>
  <si>
    <t>669 Iroquios Trail</t>
  </si>
  <si>
    <t>Carol Stream</t>
  </si>
  <si>
    <t>IL</t>
  </si>
  <si>
    <t>*According to values given by the client on Data Form and/or Statements.</t>
  </si>
  <si>
    <t>Total Assets:</t>
  </si>
  <si>
    <t>Debts:</t>
  </si>
  <si>
    <t>Net Worth:</t>
  </si>
  <si>
    <t>.</t>
  </si>
  <si>
    <t>30 Year Spenddown Calculator - What happens to the Annual Income and Balance?</t>
  </si>
  <si>
    <t>Beginning balance</t>
  </si>
  <si>
    <t>20 Years</t>
  </si>
  <si>
    <t>Yr Start Balance</t>
  </si>
  <si>
    <t>Growth Rate</t>
  </si>
  <si>
    <t>Withdraw Percentage</t>
  </si>
  <si>
    <t>Income</t>
  </si>
  <si>
    <t>Yr End Balance</t>
  </si>
  <si>
    <t>Cash Flow - Back testing following the 4% Rule - Retireing in 1999</t>
  </si>
  <si>
    <t xml:space="preserve">Nest Egg Amount in 1999 - </t>
  </si>
  <si>
    <t>Withdrawl Rate</t>
  </si>
  <si>
    <t>In 1999 the Market Gained 19.38%</t>
  </si>
  <si>
    <t>(19.38% - 4% = 15.38%)</t>
  </si>
  <si>
    <t>How does S&amp;P 500 Stock Market Drops and Losses effect Cash Flow and Balances?</t>
  </si>
  <si>
    <t>Replacing the 4% withdrawn with new growth you're ahead by 15.38%</t>
  </si>
  <si>
    <t>Starting Balance</t>
  </si>
  <si>
    <t>Year Ending Bal</t>
  </si>
  <si>
    <t>Loss</t>
  </si>
  <si>
    <t>Balance</t>
  </si>
  <si>
    <t>Lost Value equals</t>
  </si>
  <si>
    <t>New Value</t>
  </si>
  <si>
    <t>Minus Cash Flow</t>
  </si>
  <si>
    <t xml:space="preserve">Year 2 </t>
  </si>
  <si>
    <t>Year 2 in 2000</t>
  </si>
  <si>
    <t xml:space="preserve">Year 3 </t>
  </si>
  <si>
    <t>Year 3 in 2001</t>
  </si>
  <si>
    <t xml:space="preserve">Year 4 </t>
  </si>
  <si>
    <t>Year 4 in 2002</t>
  </si>
  <si>
    <t xml:space="preserve">Year 5 </t>
  </si>
  <si>
    <t>Year 5 in 2003</t>
  </si>
  <si>
    <t xml:space="preserve">Year 6 </t>
  </si>
  <si>
    <t>Year 6 in 2004</t>
  </si>
  <si>
    <t xml:space="preserve">Year 7 </t>
  </si>
  <si>
    <t>Year 7 in 2005</t>
  </si>
  <si>
    <t xml:space="preserve">Year 8 </t>
  </si>
  <si>
    <t>Year 8 in 2006</t>
  </si>
  <si>
    <t xml:space="preserve">Year 9 </t>
  </si>
  <si>
    <t>Year 9 in 2007</t>
  </si>
  <si>
    <t xml:space="preserve">Year 10 </t>
  </si>
  <si>
    <t>Year 10 in 2008</t>
  </si>
  <si>
    <t>Year 11 in 2009</t>
  </si>
  <si>
    <t>Equals Your Gross Projected Living Expenses</t>
  </si>
  <si>
    <t>Income Projectons No Planning</t>
  </si>
  <si>
    <t>His and Her Survival Income No Planning</t>
  </si>
  <si>
    <t>Age 67</t>
  </si>
  <si>
    <t>Joint Income =</t>
  </si>
  <si>
    <t>Surplus/ Shortage of Income =</t>
  </si>
  <si>
    <t>Her Survival He lives to Age 86</t>
  </si>
  <si>
    <t>Surplus/Shortage =</t>
  </si>
  <si>
    <t>His Survival She lives to Age 88</t>
  </si>
  <si>
    <t xml:space="preserve">Surplus/Shortage = </t>
  </si>
  <si>
    <t>Age 86</t>
  </si>
  <si>
    <t>Income Projectons Plan "1"</t>
  </si>
  <si>
    <t>His and Her Survival Income Plan "1"</t>
  </si>
  <si>
    <t>Age 66</t>
  </si>
  <si>
    <t>Her Survival He lives to Age 87</t>
  </si>
  <si>
    <t>Age 76</t>
  </si>
  <si>
    <t>His Survival She lives to Age 91</t>
  </si>
  <si>
    <t>Income Projectons Plan "2"</t>
  </si>
  <si>
    <t>His and Her Survival Income Plan "2"</t>
  </si>
  <si>
    <t>(Vicki) Elsiena Egan</t>
  </si>
  <si>
    <t>12259 White Trail Lane Huntley, Illinois 60142</t>
  </si>
  <si>
    <t>Harland Bank and Trust</t>
  </si>
  <si>
    <t>Fidelity</t>
  </si>
  <si>
    <t>IRA</t>
  </si>
  <si>
    <t>LTC Self Insured $9,500 per mo</t>
  </si>
  <si>
    <t xml:space="preserve">12259 White Tail Lane </t>
  </si>
  <si>
    <t>Huntley</t>
  </si>
  <si>
    <t>D</t>
  </si>
  <si>
    <t>Goals &amp; Data Form</t>
  </si>
  <si>
    <t>Business Name (if self-employed)</t>
  </si>
  <si>
    <t>Years in Business</t>
  </si>
  <si>
    <t>Business Address</t>
  </si>
  <si>
    <t>Zip Code</t>
  </si>
  <si>
    <t>Personal Information</t>
  </si>
  <si>
    <t>Name</t>
  </si>
  <si>
    <t>Birth Date</t>
  </si>
  <si>
    <t>Spouse Name</t>
  </si>
  <si>
    <t>Home Address</t>
  </si>
  <si>
    <t>His Cell Number</t>
  </si>
  <si>
    <t xml:space="preserve">Her Cell </t>
  </si>
  <si>
    <t>Best Email Address</t>
  </si>
  <si>
    <t>Children (Estate Planning Purposes)</t>
  </si>
  <si>
    <t>Number of their Children</t>
  </si>
  <si>
    <t>Notes</t>
  </si>
  <si>
    <t>Current Advisors (Optional)</t>
  </si>
  <si>
    <t>Accountant - Advisor Name</t>
  </si>
  <si>
    <t>Firm Name &amp; Telephone</t>
  </si>
  <si>
    <t>Attorney - Advisor Name</t>
  </si>
  <si>
    <t>Anthony J Davis</t>
  </si>
  <si>
    <t>Financial Advisor - Advisor Name</t>
  </si>
  <si>
    <t>Retirement Timing</t>
  </si>
  <si>
    <t>Planned Retirement Age (His)</t>
  </si>
  <si>
    <t>Planned Retirement Age (Her)</t>
  </si>
  <si>
    <t>If Already Retired: His Year</t>
  </si>
  <si>
    <t>Her Year</t>
  </si>
  <si>
    <t>Estate Planning &amp; Insurance</t>
  </si>
  <si>
    <t>Do You Have a Will? Dropdown (Yes/No)</t>
  </si>
  <si>
    <t>YES</t>
  </si>
  <si>
    <t>Year Completed</t>
  </si>
  <si>
    <t>Financial Power of Attorney (Yes/No)</t>
  </si>
  <si>
    <t>Yes</t>
  </si>
  <si>
    <t>Medical Power of Attorney (Yes/No)</t>
  </si>
  <si>
    <t>No</t>
  </si>
  <si>
    <t>Is MPOA Electronically Filed? (Yes/No)</t>
  </si>
  <si>
    <t>Do You Have a Trust? (Yes/No)</t>
  </si>
  <si>
    <t>Term Life Insurance (His) Dollar Amount)</t>
  </si>
  <si>
    <t>Term Life Insurance (Her) Dollar Amount)</t>
  </si>
  <si>
    <t>Total Life Insurance Him and Her</t>
  </si>
  <si>
    <t>Residences and Real Estate Investments</t>
  </si>
  <si>
    <t>1. Primary Residence: Owned/Rented</t>
  </si>
  <si>
    <t>Owned</t>
  </si>
  <si>
    <t>Approx. Value (if Owned)</t>
  </si>
  <si>
    <t>Mortgage Amount</t>
  </si>
  <si>
    <t>Monthly Payment</t>
  </si>
  <si>
    <t>2. Secondary Residence: Owned/Rented</t>
  </si>
  <si>
    <t>Current Portfolio (Qualified = IRA/401k/403b/Brokerage/etc.)</t>
  </si>
  <si>
    <t>Investment Account Name / Description</t>
  </si>
  <si>
    <t>His/Her/Both</t>
  </si>
  <si>
    <t>Qualified/Non-Qualified</t>
  </si>
  <si>
    <t>Balance ($)</t>
  </si>
  <si>
    <t>Qualified</t>
  </si>
  <si>
    <t>TOTALS</t>
  </si>
  <si>
    <t>Savings and Annuities</t>
  </si>
  <si>
    <t>Savings Checking Credit Union Account Description</t>
  </si>
  <si>
    <t>Current Balance</t>
  </si>
  <si>
    <t>Checking</t>
  </si>
  <si>
    <t>Annuites (Insurance Company Name)</t>
  </si>
  <si>
    <t>Year Opened</t>
  </si>
  <si>
    <t>Original Term in Years</t>
  </si>
  <si>
    <t>Still in Surrender Period?</t>
  </si>
  <si>
    <t>Income Sources</t>
  </si>
  <si>
    <t>Who’s Income (His/Her/Both)</t>
  </si>
  <si>
    <t>What Type (Pension/SS/Wages/Other)</t>
  </si>
  <si>
    <t>Dollar Amount of Annual Income ($)</t>
  </si>
  <si>
    <t>Hers</t>
  </si>
  <si>
    <t>4,490.42 per mo</t>
  </si>
  <si>
    <t>Approximate Total Annual Income ($):</t>
  </si>
  <si>
    <t>Living Expenses &amp; Desired Retirement Income</t>
  </si>
  <si>
    <t>Goals (Rate Each im the Dropdown List: 1 = Not Concerned ... 5 = Most Concerned)</t>
  </si>
  <si>
    <t>Goal</t>
  </si>
  <si>
    <t>Rating (1–5)</t>
  </si>
  <si>
    <t>Have enough retirement income that lasts my lifetime</t>
  </si>
  <si>
    <t>5 Most Concerned</t>
  </si>
  <si>
    <t>Protect assets from losses</t>
  </si>
  <si>
    <t>Save more for retirement than current IRA limits allow</t>
  </si>
  <si>
    <t>1 Not Concerned</t>
  </si>
  <si>
    <t>Protect myself/family from catastrophic long-term care costs</t>
  </si>
  <si>
    <t>4 Very Concerned</t>
  </si>
  <si>
    <t>Grow a cash account accessible at any age (no 59½ restrictions)</t>
  </si>
  <si>
    <t>Pass retirement money to next generation tax-efficiently</t>
  </si>
  <si>
    <t>Implement a retirement program that reduces tax liability</t>
  </si>
  <si>
    <t>Document Checklist &amp; Additional Notes</t>
  </si>
  <si>
    <t>Document Checklist (list items and year established/completed)</t>
  </si>
  <si>
    <t>Additional Notes</t>
  </si>
  <si>
    <t>Owner</t>
  </si>
  <si>
    <t>Account</t>
  </si>
  <si>
    <t>Type</t>
  </si>
  <si>
    <t>Property &amp; Mortgages</t>
  </si>
  <si>
    <t>Property</t>
  </si>
  <si>
    <t>Mortgage (Liability)</t>
  </si>
  <si>
    <t>Market Value (Asset)</t>
  </si>
  <si>
    <t>Primary Residence</t>
  </si>
  <si>
    <t>Secondary Residence</t>
  </si>
  <si>
    <t>Total Mortgage</t>
  </si>
  <si>
    <t>Total Real Estate Value</t>
  </si>
  <si>
    <t>Annuities</t>
  </si>
  <si>
    <t>Insurance Company / Contract</t>
  </si>
  <si>
    <t>Investment Accounts</t>
  </si>
  <si>
    <t>Account Name / Description</t>
  </si>
  <si>
    <t>Total Investments</t>
  </si>
  <si>
    <t>Jerome Alt</t>
  </si>
  <si>
    <t>847-322-4058</t>
  </si>
  <si>
    <t>jeromealt@comcast.net</t>
  </si>
  <si>
    <t>His Date of Birth</t>
  </si>
  <si>
    <t>Her Retirement Age</t>
  </si>
  <si>
    <t>Her Date of Birth</t>
  </si>
  <si>
    <t>His Current Mo Income</t>
  </si>
  <si>
    <t>His Annual Income</t>
  </si>
  <si>
    <t>Total Combined</t>
  </si>
  <si>
    <t>Her Current Mo Income</t>
  </si>
  <si>
    <t>Her Annual Income</t>
  </si>
  <si>
    <t>Annual Income</t>
  </si>
  <si>
    <t>Net Monthly Income Target in Retirement</t>
  </si>
  <si>
    <t>7160.49</t>
  </si>
  <si>
    <t>His Social Security</t>
  </si>
  <si>
    <t>66  born 1951</t>
  </si>
  <si>
    <t xml:space="preserve">Income for Life - Retirement Income Snapshot </t>
  </si>
  <si>
    <t>His Pension</t>
  </si>
  <si>
    <t>Her Pension</t>
  </si>
  <si>
    <r>
      <rPr>
        <b/>
        <sz val="9"/>
        <color theme="0"/>
        <rFont val="Arial"/>
        <family val="2"/>
      </rPr>
      <t>Subtract                Projected Living                Expenses $84,463.00 Max 25% Tax Bracket</t>
    </r>
    <r>
      <rPr>
        <b/>
        <sz val="10"/>
        <color theme="0"/>
        <rFont val="Arial"/>
        <family val="2"/>
      </rPr>
      <t xml:space="preserve">                   </t>
    </r>
  </si>
  <si>
    <t>Age 64 until Sept 2024 will be 65</t>
  </si>
  <si>
    <t xml:space="preserve">Age </t>
  </si>
  <si>
    <t>Will My Spouse have enough Income to maintain their lifestyle if I Pass on before them?</t>
  </si>
  <si>
    <t>What's Her Survival Income after the lowest paying Social Security is automatically taken away…will she have a shortage of Income?</t>
  </si>
  <si>
    <t>What's His Survival Income after the lowest paying Social Security is automatically taken away…will he have a shortage of Income?</t>
  </si>
  <si>
    <r>
      <rPr>
        <sz val="10"/>
        <rFont val="Calibri"/>
        <family val="2"/>
      </rPr>
      <t xml:space="preserve">© </t>
    </r>
    <r>
      <rPr>
        <sz val="10"/>
        <rFont val="Arial"/>
        <family val="2"/>
      </rPr>
      <t>Copyright America United Wealth Planning 2022 All rights reserved</t>
    </r>
  </si>
  <si>
    <t>Current Asset Allocations</t>
  </si>
  <si>
    <t>Red</t>
  </si>
  <si>
    <t>Risk Money</t>
  </si>
  <si>
    <t>Moderatly Liquid Money</t>
  </si>
  <si>
    <t>Yellow</t>
  </si>
  <si>
    <t>Liquid Cash Money</t>
  </si>
  <si>
    <t xml:space="preserve">                Income Projections</t>
  </si>
  <si>
    <t xml:space="preserve">     Your employment income is currently $168,300 per year</t>
  </si>
  <si>
    <t>Gross Income Projections No Planning</t>
  </si>
  <si>
    <t>Starting 2027</t>
  </si>
  <si>
    <t>Her Survival- 85</t>
  </si>
  <si>
    <t>His Survival- 82</t>
  </si>
  <si>
    <t>Total of all Income sources starting 2027</t>
  </si>
  <si>
    <t>47% of Life Savings invested at Market Risk with 53% losing to inflation</t>
  </si>
  <si>
    <t>There is No Extra Income for Long-Term Care if needed</t>
  </si>
  <si>
    <t>FIA Create a Private Pension and Lifetime Income</t>
  </si>
  <si>
    <t>His Retirement Age</t>
  </si>
  <si>
    <t>Jerry FRA 66+ 10 born 1959</t>
  </si>
  <si>
    <t>His Social                Security</t>
  </si>
  <si>
    <r>
      <rPr>
        <b/>
        <sz val="9"/>
        <color theme="0"/>
        <rFont val="Arial"/>
        <family val="2"/>
      </rPr>
      <t>Subtract                Projected Living                Expenses $83,550 Max 12% Tax Bracket</t>
    </r>
    <r>
      <rPr>
        <b/>
        <sz val="10"/>
        <color theme="0"/>
        <rFont val="Arial"/>
        <family val="2"/>
      </rPr>
      <t xml:space="preserve">                   </t>
    </r>
  </si>
  <si>
    <t>2024</t>
  </si>
  <si>
    <t>Roll Talcott $126,000  IRA Varibale Annuity into a New F&amp;G IRA FIA Annuity - With Wellness Rider 7.20 Roll up rate. Pays out 8.12% on Income Rider Balance Start Income April 2025</t>
  </si>
  <si>
    <t>Has Wellness rider for loss of 2 of 6 ADL's for up to 5 years income doubles</t>
  </si>
  <si>
    <t>Annuity Start April SSI Sept</t>
  </si>
  <si>
    <t>Roll Talcott $124,500  IRA Annuity into a New Fidelity IRA Annuity - No Wellness Rider 7.20 roll up rate</t>
  </si>
  <si>
    <t>Roll Talcott $124,500  IRA Annuity into a New Ameritas IRA Annuity - With Wellness Rider 6.00 roll up rate 51% income Bonus</t>
  </si>
  <si>
    <t>4.9% Comp Growth</t>
  </si>
  <si>
    <t>4.9% Estate Growth</t>
  </si>
  <si>
    <t>Click Here for Current US Inflation Rate</t>
  </si>
  <si>
    <t>Year 1</t>
  </si>
  <si>
    <t>Add in the Numbers Below</t>
  </si>
  <si>
    <t>Fin. Net Worth</t>
  </si>
  <si>
    <t>After Year 25</t>
  </si>
  <si>
    <t xml:space="preserve">2023 Federal Exemption Individual $12.920.000 </t>
  </si>
  <si>
    <t>Tot'l Life Insur</t>
  </si>
  <si>
    <t>2023 Fed Exemption Married Couple $25,840,000</t>
  </si>
  <si>
    <t>Net Bus. Value</t>
  </si>
  <si>
    <t>2023 Estate Tax Limit Exemption  Illinois $4 million</t>
  </si>
  <si>
    <t>Furniture</t>
  </si>
  <si>
    <t>Cars</t>
  </si>
  <si>
    <t>Jewlery</t>
  </si>
  <si>
    <t>After Year 30</t>
  </si>
  <si>
    <t>After Year 35</t>
  </si>
  <si>
    <t>Total Estate</t>
  </si>
  <si>
    <t>After Year 40</t>
  </si>
  <si>
    <t>Taxable Estate ($)</t>
  </si>
  <si>
    <t>Base Taxes Paid ($)</t>
  </si>
  <si>
    <t>Marginal Rate (%)</t>
  </si>
  <si>
    <t>Rate Threshold ($)</t>
  </si>
  <si>
    <t>1 – 40,000</t>
  </si>
  <si>
    <t>40, 000 – 90,000</t>
  </si>
  <si>
    <t>90,000 – 140,000</t>
  </si>
  <si>
    <t>140,000 – 240,000</t>
  </si>
  <si>
    <t>240,000 – 440,000</t>
  </si>
  <si>
    <t>440,000 – 640,000</t>
  </si>
  <si>
    <t>640,000 – 840,000</t>
  </si>
  <si>
    <t>840,000 – 1.04 MM</t>
  </si>
  <si>
    <t>1.04 MM – 1.54 MM</t>
  </si>
  <si>
    <t>1.54 MM – 2.04 MM</t>
  </si>
  <si>
    <t>2.04 MM – 2.54 MM</t>
  </si>
  <si>
    <t>2.54 MM – 3.04 MM</t>
  </si>
  <si>
    <t>3.04 MM – 3.54 MM</t>
  </si>
  <si>
    <t>3.54 MM – 4.04 MM</t>
  </si>
  <si>
    <t>4.04 MM – 5.04 MM</t>
  </si>
  <si>
    <t>5.04 MM – 6.04 MM</t>
  </si>
  <si>
    <t>6.04 MM – 7.04 MM</t>
  </si>
  <si>
    <t>7.04 MM – 8.04 MM</t>
  </si>
  <si>
    <t>8.04 MM – 9.04 MM</t>
  </si>
  <si>
    <t>9.04 MM – 10.04 MM</t>
  </si>
  <si>
    <t>10.04 MM and up</t>
  </si>
  <si>
    <t>State of Illinois Estate Tax Calculator 2022 Max Rate 16%</t>
  </si>
  <si>
    <t>Fill in the Numbers from the COLORS on the Chart to Compute the Tax Liability</t>
  </si>
  <si>
    <t>Estimated Estate</t>
  </si>
  <si>
    <t>Bottom Threshold from Chart</t>
  </si>
  <si>
    <t>Difference</t>
  </si>
  <si>
    <t xml:space="preserve">Estimated Amt. </t>
  </si>
  <si>
    <t>Fill in from Chart</t>
  </si>
  <si>
    <t>Current</t>
  </si>
  <si>
    <t>minus</t>
  </si>
  <si>
    <t>equals</t>
  </si>
  <si>
    <t>5 Years</t>
  </si>
  <si>
    <t>10 Years</t>
  </si>
  <si>
    <t>Difference Amt</t>
  </si>
  <si>
    <t>Marg. Rate Percentage</t>
  </si>
  <si>
    <t>Amount added to Base Taxes</t>
  </si>
  <si>
    <t>15 Years</t>
  </si>
  <si>
    <t>ie $960,000</t>
  </si>
  <si>
    <t>equals this amount</t>
  </si>
  <si>
    <t>Times</t>
  </si>
  <si>
    <t>Amount added to Base Rate</t>
  </si>
  <si>
    <t>Base Taxes Paid</t>
  </si>
  <si>
    <t>this amount gets added tp the Base Taxes Paid from the Chart</t>
  </si>
  <si>
    <t>Minus Universal Adjustment</t>
  </si>
  <si>
    <t>Plus</t>
  </si>
  <si>
    <t>Total Estate Tax Bill to be Paid</t>
  </si>
  <si>
    <t>Amount going to the State of Illinois</t>
  </si>
  <si>
    <t>State of Illinois</t>
  </si>
  <si>
    <t>Single &amp; Joint Exclusion</t>
  </si>
  <si>
    <t>4.9% Inflation Growth</t>
  </si>
  <si>
    <t>After Exemption</t>
  </si>
  <si>
    <t>of the Estate</t>
  </si>
  <si>
    <t>State of IL Exclusion</t>
  </si>
  <si>
    <t>Taxable Estate Amt.</t>
  </si>
  <si>
    <t>Taxes</t>
  </si>
  <si>
    <t>In 5 Years</t>
  </si>
  <si>
    <t>In 10 Years</t>
  </si>
  <si>
    <t>In 15 Years</t>
  </si>
  <si>
    <t>In 20  Years</t>
  </si>
  <si>
    <t>Total Cash Value of Estate Money</t>
  </si>
  <si>
    <t xml:space="preserve"> Non Qual &amp; ROTH </t>
  </si>
  <si>
    <t xml:space="preserve">Equals Amount subject to taxation </t>
  </si>
  <si>
    <t xml:space="preserve">Divided by 10 Yrs </t>
  </si>
  <si>
    <t>Taxed @ 37% Per Year</t>
  </si>
  <si>
    <t>Tax Paid Over 10 Years</t>
  </si>
  <si>
    <t>Taxable Estate Size</t>
  </si>
  <si>
    <t>State Tax Bill</t>
  </si>
  <si>
    <t>IRA Tax Bill</t>
  </si>
  <si>
    <t>Total Family Tax Bill</t>
  </si>
  <si>
    <t>Estimated ILIT Amount Needed</t>
  </si>
  <si>
    <t xml:space="preserve">Irrevocable Life Inaurance Trust </t>
  </si>
  <si>
    <t>Tax Free Income to make the Estate whole after taxes</t>
  </si>
  <si>
    <t>Jim and Linda Stembridge</t>
  </si>
  <si>
    <t>630-550-6542</t>
  </si>
  <si>
    <t>las5979@gmail.com</t>
  </si>
  <si>
    <t>Monthly Income</t>
  </si>
  <si>
    <t xml:space="preserve"> = Gross Annual Living Expenses (25% for taxes added to net) $83,550 12% Tax Bracket</t>
  </si>
  <si>
    <t>Her Social Secuity</t>
  </si>
  <si>
    <t>Jim FRA 66+8 Linda 66+10</t>
  </si>
  <si>
    <t xml:space="preserve">Income for Life - $482,939.45 Plan </t>
  </si>
  <si>
    <t>Her Social Security</t>
  </si>
  <si>
    <t>$325,939.45 into a FIA with 10% bonus joint income $32,593.90 Start income in 2025 with 7% Income Rider Growth</t>
  </si>
  <si>
    <t>ROTH $103,000 into a FIA with 10% bonus joint income $10,300 Start income in 2025 with 7% Income Rider Growth</t>
  </si>
  <si>
    <t>2022</t>
  </si>
  <si>
    <t>Plan "1" - Will My Spouse have enough Income to maintain their lifestyle if I Pass on before them?</t>
  </si>
  <si>
    <t>James and Linda Stembridge</t>
  </si>
  <si>
    <t>23W706 Walnut St Roselle Illinois 60172</t>
  </si>
  <si>
    <t>American Express Savings</t>
  </si>
  <si>
    <t>Wheaton College TIAA Cref</t>
  </si>
  <si>
    <t>403b</t>
  </si>
  <si>
    <t>Nationwide Trad 325,939 + Roth 103</t>
  </si>
  <si>
    <t xml:space="preserve">Asset Allocation </t>
  </si>
  <si>
    <t>30 Year Retirement Income Comparisons No Planning vs. $415 Income Plan</t>
  </si>
  <si>
    <t>Age 68</t>
  </si>
  <si>
    <t>Age 69</t>
  </si>
  <si>
    <t xml:space="preserve">Income Projectons $415 Plan </t>
  </si>
  <si>
    <t>His and Her Survival Income $415 Plan</t>
  </si>
  <si>
    <t xml:space="preserve">Income for Life - $415 Ladder Plan </t>
  </si>
  <si>
    <t>$112,000 into a FIA with 10% bonus joint income $11,200 Start income in 2025 with 7% Income Rider Growth</t>
  </si>
  <si>
    <t>$100,000 into a FIA with 10% bonus joint income $10,000 Start income in 2025 with 7% Income Rider Growth</t>
  </si>
  <si>
    <t xml:space="preserve">Income for Life - Immediate Gold Plan </t>
  </si>
  <si>
    <t>$600,000 into a FIA with 10% bonus joint income $660,000 Start income in 2025 with 7% Income Rider Growth</t>
  </si>
  <si>
    <t>30 Year Retirement Income Comparisons No Planning vs. Gold Income Plan</t>
  </si>
  <si>
    <t>Income Projectons Gold Plan "1"</t>
  </si>
  <si>
    <t>His and Her Survival Income Gold Plan "1"</t>
  </si>
  <si>
    <t xml:space="preserve">Gold Plan Asset Allocation </t>
  </si>
  <si>
    <t xml:space="preserve">Income for Life - Silver Inflation Ladder Plan </t>
  </si>
  <si>
    <t>$400,000 into a FIA with 10% bonus joint income $440,000 Start income in 2025 with 7% Income Rider Growth</t>
  </si>
  <si>
    <t>$100,000 into a FIA with 10% bonus joint income $110,000 Start income in 2026 with 7% Income Rider Growth</t>
  </si>
  <si>
    <t>$100,000 into a FIA with 10% bonus joint income $110,000 Start income in 2027 with 7% Income Rider Growth</t>
  </si>
  <si>
    <t xml:space="preserve">30 Year Retirement Income Comparisons No Planning vs. Gold and Silver Plans </t>
  </si>
  <si>
    <t xml:space="preserve">Income Projectons Gold Plan </t>
  </si>
  <si>
    <t xml:space="preserve">His and Her Survival Income Gold Plan </t>
  </si>
  <si>
    <t xml:space="preserve">Income Projectons Silver Plan </t>
  </si>
  <si>
    <t xml:space="preserve">His and Her Survival Income Silver Plan </t>
  </si>
  <si>
    <t>Silver Plan Asset Allocation</t>
  </si>
  <si>
    <t xml:space="preserve">Income for Life </t>
  </si>
  <si>
    <r>
      <t xml:space="preserve"> American Equity</t>
    </r>
    <r>
      <rPr>
        <b/>
        <sz val="8"/>
        <rFont val="Arial"/>
        <family val="2"/>
      </rPr>
      <t xml:space="preserve"> $64,000 issued 9-29-20 redirect from 401k to Joint lifetime income  + 8% bonus $5,120 = $69,120 + 6% Income Growth + Wellness for 5 Yrs.  $4,100.62 starting year 2   </t>
    </r>
  </si>
  <si>
    <r>
      <rPr>
        <b/>
        <sz val="10"/>
        <rFont val="Arial"/>
        <family val="2"/>
      </rPr>
      <t>Nassau Life</t>
    </r>
    <r>
      <rPr>
        <b/>
        <sz val="8"/>
        <rFont val="Arial"/>
        <family val="2"/>
      </rPr>
      <t xml:space="preserve">              moving $98,970 from Nationwide to Nassau  </t>
    </r>
    <r>
      <rPr>
        <b/>
        <sz val="7"/>
        <rFont val="Arial"/>
        <family val="2"/>
      </rPr>
      <t>Get Joint lifetime income Plus a 30% Recovery bonus $29,691 is added to the $97,970 income base = $128,271 = Start Income in 2023</t>
    </r>
  </si>
  <si>
    <t xml:space="preserve">Diane's Pension           </t>
  </si>
  <si>
    <t>Pension United Airlines - PBGC Pension Benefit Guarantee Corp.</t>
  </si>
  <si>
    <t xml:space="preserve">Pension Continental </t>
  </si>
  <si>
    <t>Diane's- RMD's from Inherited Money approximated amount of income</t>
  </si>
  <si>
    <t>630-439-5341</t>
  </si>
  <si>
    <t>andracki.r@comcast.net</t>
  </si>
  <si>
    <t>Create Income for Life - Ladder of Annuities</t>
  </si>
  <si>
    <r>
      <rPr>
        <b/>
        <sz val="10"/>
        <rFont val="Arial"/>
        <family val="2"/>
      </rPr>
      <t>Sentenial Life</t>
    </r>
    <r>
      <rPr>
        <b/>
        <sz val="8"/>
        <rFont val="Arial"/>
        <family val="2"/>
      </rPr>
      <t xml:space="preserve"> moving $50,000 from Nationwide to Sentinel Life:</t>
    </r>
    <r>
      <rPr>
        <b/>
        <sz val="7"/>
        <rFont val="Arial"/>
        <family val="2"/>
      </rPr>
      <t xml:space="preserve"> Get Joint lifetime income Plus a 4% Recovery bonus $4,000 is added to the annuity base = $54,000 &amp; Start Income in 2022</t>
    </r>
  </si>
  <si>
    <r>
      <rPr>
        <b/>
        <sz val="10"/>
        <rFont val="Arial"/>
        <family val="2"/>
      </rPr>
      <t>Nassau Life</t>
    </r>
    <r>
      <rPr>
        <b/>
        <sz val="8"/>
        <rFont val="Arial"/>
        <family val="2"/>
      </rPr>
      <t xml:space="preserve">              moving $43,000 from Nationwide to Nassau  </t>
    </r>
    <r>
      <rPr>
        <b/>
        <sz val="7"/>
        <rFont val="Arial"/>
        <family val="2"/>
      </rPr>
      <t>Get Joint lifetime income Plus a 30% Recovery bonus $12,900 is added to the $43,000 income base = $55,900 = Start Income in 2023</t>
    </r>
  </si>
  <si>
    <t xml:space="preserve">Income for Life - Silver Plan "2" </t>
  </si>
  <si>
    <r>
      <t xml:space="preserve">                                </t>
    </r>
    <r>
      <rPr>
        <b/>
        <sz val="8"/>
        <rFont val="Arial"/>
        <family val="2"/>
      </rPr>
      <t xml:space="preserve">New FIA $64,000 redirect from 401k to Joint lifetime income  + 8% bonus $5,120 = $69,120 + 6% Income Growth + Wellness for 5 Yrs.  $3,813.56   </t>
    </r>
  </si>
  <si>
    <r>
      <t xml:space="preserve">                                 </t>
    </r>
    <r>
      <rPr>
        <b/>
        <sz val="8"/>
        <rFont val="Arial"/>
        <family val="2"/>
      </rPr>
      <t xml:space="preserve">Nationwide FIA first year 7.5 Cap with min 3% floor cap.  Yr 2 and on is 2% max cap.  Withdraw up to 10% until balance is depleted </t>
    </r>
  </si>
  <si>
    <t xml:space="preserve">Diane's- RMD's from Inherited Money </t>
  </si>
  <si>
    <t>Annuity</t>
  </si>
  <si>
    <t>Plan "2" Will My Spouse have enough Income to maintain their lifestyle if I Pass on before them?</t>
  </si>
  <si>
    <t xml:space="preserve">Income for Life - Silver Plan Income Snapshot </t>
  </si>
  <si>
    <t>New FIA redirect $67,000 from 401k + 8% Bonus = $5,360 = $72,360 + 6% Income Growth + Wellness Income $4,292.84 for 5 Years</t>
  </si>
  <si>
    <r>
      <t xml:space="preserve">                                 </t>
    </r>
    <r>
      <rPr>
        <b/>
        <sz val="8"/>
        <rFont val="Arial"/>
        <family val="2"/>
      </rPr>
      <t>Nationwide FIA guaranteed growth 2% no income guarantees.  Withdraw until balance is depleted I used a 4% withdraw rate for income</t>
    </r>
    <r>
      <rPr>
        <b/>
        <sz val="10"/>
        <rFont val="Arial"/>
        <family val="2"/>
      </rPr>
      <t xml:space="preserve">. </t>
    </r>
    <r>
      <rPr>
        <b/>
        <sz val="8"/>
        <rFont val="Arial"/>
        <family val="2"/>
      </rPr>
      <t>No additional wellnes income</t>
    </r>
  </si>
  <si>
    <t>Silver Plan Asset Allocations</t>
  </si>
  <si>
    <t xml:space="preserve">Income for Life - Platinum Plan Income Snapshot </t>
  </si>
  <si>
    <t>Redirect Walgreens Stock + Cash from Nassau Variable life into new FIA $9,000 + 8% bonus $720 = $9,720 + 6% Income Growth. Diane life only no wellness rider</t>
  </si>
  <si>
    <r>
      <t xml:space="preserve">                                </t>
    </r>
    <r>
      <rPr>
        <b/>
        <sz val="8"/>
        <rFont val="Arial"/>
        <family val="2"/>
      </rPr>
      <t xml:space="preserve">New FIA $155,000 Move Nationwide $91k + $64k from 401k to Joint lifetime income  + 8% bonus $12,400 = $167,400 + 6% Income Growth + Wellness for 5 Yrs.  $9,772.25   </t>
    </r>
  </si>
  <si>
    <t>Platinum Plan Asset Allocations</t>
  </si>
  <si>
    <t>Net living Expenses with 25% added for taxes =</t>
  </si>
  <si>
    <t>Donnas Survival Income</t>
  </si>
  <si>
    <t xml:space="preserve"> Current Gross Income Amount </t>
  </si>
  <si>
    <t>He Retires at Age</t>
  </si>
  <si>
    <t>She Retires at Age</t>
  </si>
  <si>
    <t>His Age</t>
  </si>
  <si>
    <t>Her  Age</t>
  </si>
  <si>
    <t>His Social Security FRA 66</t>
  </si>
  <si>
    <t>Her Social Security FRA 66+4 mos</t>
  </si>
  <si>
    <t>His Employment</t>
  </si>
  <si>
    <t>Her Employment</t>
  </si>
  <si>
    <r>
      <rPr>
        <b/>
        <sz val="8"/>
        <rFont val="Calibri"/>
        <family val="2"/>
        <scheme val="minor"/>
      </rPr>
      <t xml:space="preserve">Age 66 estimated at </t>
    </r>
    <r>
      <rPr>
        <sz val="8"/>
        <rFont val="Calibri"/>
        <family val="2"/>
        <scheme val="minor"/>
      </rPr>
      <t>$2,550 COLA Range is 1.9% to 2.9%  we added in 2%. Start with 5 months</t>
    </r>
  </si>
  <si>
    <r>
      <rPr>
        <b/>
        <sz val="8"/>
        <rFont val="Calibri"/>
        <family val="2"/>
        <scheme val="minor"/>
      </rPr>
      <t xml:space="preserve">Age 66 estimated at </t>
    </r>
    <r>
      <rPr>
        <sz val="8"/>
        <rFont val="Calibri"/>
        <family val="2"/>
        <scheme val="minor"/>
      </rPr>
      <t>$2,350 COLA Range is 1.9% to 2.9%  we added in 2%. Start with 2 months</t>
    </r>
  </si>
  <si>
    <t xml:space="preserve">Current Employment $49,000 per year or $4,083 per month will retire from present job at age 70 work for 7 mos in 2024 </t>
  </si>
  <si>
    <t xml:space="preserve">Current Employment $125,000 per year or $10,416.00 per month will retire from present job at age 66 from work. Will work for 7 months in 2022 </t>
  </si>
  <si>
    <t>$851.00 Starts at age 66 gets 5 months at start at age 66 with 33% Survival to Donna</t>
  </si>
  <si>
    <t xml:space="preserve">Minimum Gross Income Needed is             $78,000 per yr. </t>
  </si>
  <si>
    <t>Toms Survival Income</t>
  </si>
  <si>
    <t>Asset Allocation and Income Snapshot - Current Snapshot</t>
  </si>
  <si>
    <t>25% taxes added to min target of $60,792 net grossed up to</t>
  </si>
  <si>
    <t>Greg and Mary Belinsky</t>
  </si>
  <si>
    <t xml:space="preserve"> Greg Retires at age 66 and Mary Retires at age 65</t>
  </si>
  <si>
    <t>His Social Security FRA 66+10 mos</t>
  </si>
  <si>
    <t>His PBGC Pension</t>
  </si>
  <si>
    <t>Her United Airlines Pension</t>
  </si>
  <si>
    <t>Roll over $200,000            In Service Distribution from Mary's 401k into a new IRA</t>
  </si>
  <si>
    <t>Roll over $100,000 In Service Distribution from Greg's 401k into a new IRA</t>
  </si>
  <si>
    <t>Transfer $200,000 from under performing cash assets defer taxes on earnings</t>
  </si>
  <si>
    <t>Wellness Rider can be used for either spouse if income taken jointly</t>
  </si>
  <si>
    <r>
      <rPr>
        <b/>
        <sz val="8"/>
        <rFont val="Calibri"/>
        <family val="2"/>
        <scheme val="minor"/>
      </rPr>
      <t xml:space="preserve">Age 66 + 10 estimated at </t>
    </r>
    <r>
      <rPr>
        <sz val="8"/>
        <rFont val="Calibri"/>
        <family val="2"/>
        <scheme val="minor"/>
      </rPr>
      <t>$2,427 COLA Range is 1.9% to 2.9%  we added in 2%. Start with 2 months</t>
    </r>
  </si>
  <si>
    <r>
      <rPr>
        <b/>
        <sz val="8"/>
        <rFont val="Calibri"/>
        <family val="2"/>
        <scheme val="minor"/>
      </rPr>
      <t>66 + 4 estimated at</t>
    </r>
    <r>
      <rPr>
        <sz val="8"/>
        <rFont val="Calibri"/>
        <family val="2"/>
        <scheme val="minor"/>
      </rPr>
      <t xml:space="preserve"> $2,246 COLA Range is 1.9% to 2.9% we added in 2%. Start with 8 months</t>
    </r>
  </si>
  <si>
    <t xml:space="preserve">Current Employment $73,800 per year or $6,150 per month will retire from present job at age 66 work for 8 mos in 2026 </t>
  </si>
  <si>
    <t xml:space="preserve">Current Employment $94,500 per year or $7,875.00 per month will retire from present job at age 65 from work. Will work for 4 months in 2022 </t>
  </si>
  <si>
    <t>$884.00 Starts at age 66 + 10 gets 2 months at start with 50% Survival to Mary</t>
  </si>
  <si>
    <t>$615.00 Starts at age 66+4 she gets 8 months at start with 50% Survival to Greg</t>
  </si>
  <si>
    <t>Roll Over $200,000  into FIA add a bonus of 8% = $16,000 total is $216,000 Income Acct Grows at 7% Starts 3/13/22</t>
  </si>
  <si>
    <t>Roll Over $100,000  into FIA add a bonus of 8% = $8,000 total is $108,000 Income Acct Grows at 6% Starts 3/13/27</t>
  </si>
  <si>
    <t>Transfer $200,000  into FIA add a bonus of 8% = $16,000 total is $216,000 Income Acct Grows at 6% Starts 3/13/27</t>
  </si>
  <si>
    <t xml:space="preserve">Minimum Gross Income Needed is             $75,990 per yr. </t>
  </si>
  <si>
    <t>This rider increases your income by 150%  for a period of 5 years with a loss of 2 of 6 ADL's. This income is for any purpose, long-term care - home care, skilled care</t>
  </si>
  <si>
    <t>Mary's Survival Income if Greg Passes on</t>
  </si>
  <si>
    <t>$884.00 Starts at age 66+10 gets 2 months at start with 50% Survival to Mary</t>
  </si>
  <si>
    <t>Greg's Survival Income if Mary Passes on</t>
  </si>
  <si>
    <t>Transfer $300,000 from under performing cash assets defer taxes on earnings</t>
  </si>
  <si>
    <t>Roll Over $300,000  into FIA add a bonus of 8% = $24,000 total is $324,000 Income Acct Grows at 6% Starts 3/13/27</t>
  </si>
  <si>
    <t>My FamilyShield Plan Income Snapshot - Hedge Plan B</t>
  </si>
  <si>
    <t xml:space="preserve">Min. Annual Income Goal is: </t>
  </si>
  <si>
    <t>Current Annual Income is $168,300 per yr.</t>
  </si>
  <si>
    <t xml:space="preserve">Income with No Planning </t>
  </si>
  <si>
    <t>No Planning - Gross Income Both Retired 2027</t>
  </si>
  <si>
    <t>My FamilyShield Hedge Plan (B) Mary Retires in 2023</t>
  </si>
  <si>
    <t>Gross Income when Mary Retires in 2023</t>
  </si>
  <si>
    <t xml:space="preserve">My FamilyShield Hedge Plan (B) Both Retired in 2027 </t>
  </si>
  <si>
    <t>Gross Income when Both Retire in 2027</t>
  </si>
  <si>
    <t>My FamilyShield Plan Income Snapshot - Hedge Plan A</t>
  </si>
  <si>
    <t xml:space="preserve">My FamilyShield Hedge Plan (A) Mary Retires in 2023 </t>
  </si>
  <si>
    <t>My FamilyShield Hedge Plan (A) Both Retired in 2027</t>
  </si>
  <si>
    <t xml:space="preserve">Income Snapshot - Comparing No Hedge Plan with Hedge Plan 3 </t>
  </si>
  <si>
    <t>Hedge Plan 3 Gross Income Projections</t>
  </si>
  <si>
    <t xml:space="preserve">Starting 2028 </t>
  </si>
  <si>
    <r>
      <t xml:space="preserve">Deborah taking Social Security at Age: 70 </t>
    </r>
    <r>
      <rPr>
        <b/>
        <sz val="12"/>
        <color theme="1"/>
        <rFont val="Calibri"/>
        <family val="2"/>
        <scheme val="minor"/>
      </rPr>
      <t>1/2</t>
    </r>
  </si>
  <si>
    <t>Total of all Income sources starting 2028</t>
  </si>
  <si>
    <t>Comparison Fact Sheet Foundation Gold vs. Retirement Gold - Updated 12-15-17</t>
  </si>
  <si>
    <t>Foundation Gold 10 Year Annuity</t>
  </si>
  <si>
    <t>Retirement Gold 10 Year Annuity</t>
  </si>
  <si>
    <t xml:space="preserve">Bonus Amount added to Premium </t>
  </si>
  <si>
    <t xml:space="preserve">Minimum Income Growth Account </t>
  </si>
  <si>
    <t xml:space="preserve">Income Comparison </t>
  </si>
  <si>
    <t>2019 = $5,184.15</t>
  </si>
  <si>
    <t>Foundation $330.20 +</t>
  </si>
  <si>
    <t>2019 = $4,853.95</t>
  </si>
  <si>
    <t>2021 = $6,026.24</t>
  </si>
  <si>
    <t>Foundation $435.99 +</t>
  </si>
  <si>
    <t>2021 = $5,590.25</t>
  </si>
  <si>
    <t>2023 = $6,837.30</t>
  </si>
  <si>
    <t>Foundation $402.90 +</t>
  </si>
  <si>
    <t>2023 = $6,434.40</t>
  </si>
  <si>
    <t>2025 = $7,678.32</t>
  </si>
  <si>
    <t>Foundation $276.49 +</t>
  </si>
  <si>
    <t>2025 = $7,401.83</t>
  </si>
  <si>
    <t xml:space="preserve">Ability to Turn Income on and off  </t>
  </si>
  <si>
    <t>Unique to this company to control taxes</t>
  </si>
  <si>
    <t>Income Tax Maximization</t>
  </si>
  <si>
    <t xml:space="preserve">Cost of Income Account is </t>
  </si>
  <si>
    <t xml:space="preserve">Additional Annuity Costs   </t>
  </si>
  <si>
    <t>None</t>
  </si>
  <si>
    <t xml:space="preserve">Length of Income Account Period is </t>
  </si>
  <si>
    <t xml:space="preserve">Wellness Rider is for life </t>
  </si>
  <si>
    <t xml:space="preserve">Length of Wellness Rider </t>
  </si>
  <si>
    <t xml:space="preserve">Nursing Home Rider </t>
  </si>
  <si>
    <t xml:space="preserve">3 contract years </t>
  </si>
  <si>
    <t xml:space="preserve">Terminal Illness Rider </t>
  </si>
  <si>
    <t>Yes after 1 contact year</t>
  </si>
  <si>
    <t>Bonus Vesting Contract Years</t>
  </si>
  <si>
    <t>1,    2,     3,     4,     5,     6,     7,    8,     9,   10,    11</t>
  </si>
  <si>
    <t>1,    2,     3,     4,     5,       6,     7,       8,      9,   10,     11,     12,    13,    14,       15</t>
  </si>
  <si>
    <t>Vested Percent</t>
  </si>
  <si>
    <t>0    10    20    30    40     50    60   70     80   90   100</t>
  </si>
  <si>
    <t>0     0      0    8.33 16.67   25  33.33  41.67   50  58.33  66.67  75   83.33 91.67   100</t>
  </si>
  <si>
    <t>Surrender Period Years Ages 18-80</t>
  </si>
  <si>
    <t>1,    2,     3,     4,     5,     6,     7,    8,      9,   10,   11</t>
  </si>
  <si>
    <t xml:space="preserve">1,      2,     3,     4,     5,      6,     7,     8,     9,   10,    11,    </t>
  </si>
  <si>
    <t>Surrender Charge Percentage</t>
  </si>
  <si>
    <t>9   8.25  7.25 6.25 5.25 4.25  3.25 2.25   1    0.5     0</t>
  </si>
  <si>
    <t xml:space="preserve">12.5  12   12     11    10      9      8      7      6      4      0                </t>
  </si>
  <si>
    <t xml:space="preserve"> </t>
  </si>
  <si>
    <t xml:space="preserve">Free withdraws   </t>
  </si>
  <si>
    <t>5%/10%</t>
  </si>
  <si>
    <t>Cumulative</t>
  </si>
  <si>
    <t>fixed</t>
  </si>
  <si>
    <t>Foundation GOLD Strategy, Market Protection, Inflation Protection and LTC Protection</t>
  </si>
  <si>
    <t>Annual Income Goal is</t>
  </si>
  <si>
    <t>Insuring That Your Money Lasts Your Entire Lifetime</t>
  </si>
  <si>
    <t>We are Repositioning $400,000</t>
  </si>
  <si>
    <r>
      <rPr>
        <b/>
        <sz val="16"/>
        <color theme="1"/>
        <rFont val="Arial Narrow"/>
        <family val="2"/>
      </rPr>
      <t>2020 Income &amp; LTC Snapshot</t>
    </r>
    <r>
      <rPr>
        <sz val="16"/>
        <color theme="1"/>
        <rFont val="Arial Narrow"/>
        <family val="2"/>
      </rPr>
      <t xml:space="preserve"> </t>
    </r>
  </si>
  <si>
    <t>Joint Income Amt.</t>
  </si>
  <si>
    <t>Her Survival Amt.</t>
  </si>
  <si>
    <t>His Survival Amt.</t>
  </si>
  <si>
    <t>LTC Snapshot</t>
  </si>
  <si>
    <t>150% income increase</t>
  </si>
  <si>
    <r>
      <rPr>
        <b/>
        <sz val="16"/>
        <color theme="1"/>
        <rFont val="Arial Narrow"/>
        <family val="2"/>
      </rPr>
      <t>2022 Income &amp; LTC Snapshot</t>
    </r>
    <r>
      <rPr>
        <sz val="16"/>
        <color theme="1"/>
        <rFont val="Arial Narrow"/>
        <family val="2"/>
      </rPr>
      <t xml:space="preserve"> </t>
    </r>
  </si>
  <si>
    <r>
      <rPr>
        <b/>
        <sz val="16"/>
        <color theme="1"/>
        <rFont val="Arial Narrow"/>
        <family val="2"/>
      </rPr>
      <t>2024 Income &amp; LTC Snapshot</t>
    </r>
    <r>
      <rPr>
        <sz val="16"/>
        <color theme="1"/>
        <rFont val="Arial Narrow"/>
        <family val="2"/>
      </rPr>
      <t xml:space="preserve"> </t>
    </r>
  </si>
  <si>
    <r>
      <rPr>
        <b/>
        <sz val="16"/>
        <color theme="1"/>
        <rFont val="Arial Narrow"/>
        <family val="2"/>
      </rPr>
      <t>2026 Income &amp; LTC Snapshot</t>
    </r>
    <r>
      <rPr>
        <sz val="16"/>
        <color theme="1"/>
        <rFont val="Arial Narrow"/>
        <family val="2"/>
      </rPr>
      <t xml:space="preserve"> </t>
    </r>
  </si>
  <si>
    <t>Researchers Suggested Investment Weighting</t>
  </si>
  <si>
    <r>
      <rPr>
        <b/>
        <sz val="14"/>
        <color rgb="FFFF0000"/>
        <rFont val="Arial Narrow"/>
        <family val="2"/>
      </rPr>
      <t>Aggressive Investor</t>
    </r>
    <r>
      <rPr>
        <b/>
        <sz val="14"/>
        <rFont val="Arial Narrow"/>
        <family val="2"/>
      </rPr>
      <t xml:space="preserve"> 120 - average age of client &amp; spouse 64 = </t>
    </r>
    <r>
      <rPr>
        <b/>
        <sz val="14"/>
        <color rgb="FFFF0000"/>
        <rFont val="Arial Narrow"/>
        <family val="2"/>
      </rPr>
      <t>56% Mkt Sensitive</t>
    </r>
  </si>
  <si>
    <r>
      <rPr>
        <b/>
        <sz val="14"/>
        <color rgb="FFFF0000"/>
        <rFont val="Arial Narrow"/>
        <family val="2"/>
      </rPr>
      <t>Moderate Investor</t>
    </r>
    <r>
      <rPr>
        <b/>
        <sz val="14"/>
        <rFont val="Arial Narrow"/>
        <family val="2"/>
      </rPr>
      <t xml:space="preserve"> 110 - average age of client &amp; spouse 64 = </t>
    </r>
    <r>
      <rPr>
        <b/>
        <sz val="14"/>
        <color rgb="FFFF0000"/>
        <rFont val="Arial Narrow"/>
        <family val="2"/>
      </rPr>
      <t>46% Mkt Sensitive</t>
    </r>
  </si>
  <si>
    <r>
      <rPr>
        <b/>
        <sz val="14"/>
        <color rgb="FFFF0000"/>
        <rFont val="Arial Narrow"/>
        <family val="2"/>
      </rPr>
      <t>Conservative Investor</t>
    </r>
    <r>
      <rPr>
        <b/>
        <sz val="14"/>
        <rFont val="Arial Narrow"/>
        <family val="2"/>
      </rPr>
      <t xml:space="preserve"> 100 - average age of client &amp; spouse 64 = </t>
    </r>
    <r>
      <rPr>
        <b/>
        <sz val="14"/>
        <color rgb="FFFF0000"/>
        <rFont val="Arial Narrow"/>
        <family val="2"/>
      </rPr>
      <t>36% Mkt Sensitive</t>
    </r>
  </si>
  <si>
    <t>Minimum Targeted Income</t>
  </si>
  <si>
    <t>Michael A. Kurczak and Carol L. Kurczak</t>
  </si>
  <si>
    <t xml:space="preserve">2017 Current Annual Income Target </t>
  </si>
  <si>
    <t xml:space="preserve">Gold Strategy with Laddered Joint Income, Inflation Protection and LTC Income Protection </t>
  </si>
  <si>
    <t>Reposition $400,000 and Retire November 2018</t>
  </si>
  <si>
    <t>Wellness Rider</t>
  </si>
  <si>
    <t>Estimated                                                 $2,664 at age 66 with COLA Range is 1.9 to 2.9 Per Soc Sec</t>
  </si>
  <si>
    <t>Estimated $1,332 which is 50% of his with COLA   Range is 1.9 to 2.9 Per Soc Sec</t>
  </si>
  <si>
    <t>Current Employment $9,641.67 Per Mo Unknow how many months you'll work in 2018</t>
  </si>
  <si>
    <t>Current Employment $1,808.33 Per Mo Unknown how many months you'll work in 2018</t>
  </si>
  <si>
    <t>Annual Pension $2,804.26 per mo with 100% survival</t>
  </si>
  <si>
    <t>FIA $100,000 with 6% Income Rider Growth - $8,000 bonus Provides Guaranteed Income for both Lives Start Income Nov 2019</t>
  </si>
  <si>
    <t>FIA $100,000 with 6% Income Rider Growth - $8,000 bonus Provides Guaranteed Income for both Lives. Start Income Nov 2021</t>
  </si>
  <si>
    <t>FIA $100,000 with 6% Income Rider Growth - $8,000 bonus Provides Guaranteed Income for both Lives. Start Income Nov 2023</t>
  </si>
  <si>
    <t>FIA $100,000 with 6% Income Rider Growth - $8,000 bonus Provides Guaranteed Income for both Lives. Start Income Nov 2025</t>
  </si>
  <si>
    <t xml:space="preserve">Gross Income </t>
  </si>
  <si>
    <t>Cash Flow Retirement Income Snapshot  for:</t>
  </si>
  <si>
    <t>Peterson Family</t>
  </si>
  <si>
    <t>Combined  Annual Income</t>
  </si>
  <si>
    <r>
      <rPr>
        <b/>
        <i/>
        <sz val="9"/>
        <color theme="4" tint="0.59996337778862885"/>
        <rFont val="Arial"/>
        <family val="2"/>
      </rPr>
      <t>His</t>
    </r>
    <r>
      <rPr>
        <b/>
        <i/>
        <sz val="9"/>
        <color theme="0"/>
        <rFont val="Arial"/>
        <family val="2"/>
      </rPr>
      <t xml:space="preserve"> &amp;</t>
    </r>
    <r>
      <rPr>
        <b/>
        <i/>
        <sz val="9"/>
        <color theme="5" tint="0.79995117038483843"/>
        <rFont val="Arial"/>
        <family val="2"/>
      </rPr>
      <t xml:space="preserve"> Her</t>
    </r>
    <r>
      <rPr>
        <b/>
        <i/>
        <sz val="9"/>
        <color theme="0"/>
        <rFont val="Arial"/>
        <family val="2"/>
      </rPr>
      <t xml:space="preserve"> Current Age</t>
    </r>
  </si>
  <si>
    <r>
      <rPr>
        <b/>
        <i/>
        <sz val="9"/>
        <color theme="4" tint="0.59996337778862885"/>
        <rFont val="Arial"/>
        <family val="2"/>
      </rPr>
      <t>His</t>
    </r>
    <r>
      <rPr>
        <b/>
        <i/>
        <sz val="9"/>
        <color theme="0"/>
        <rFont val="Arial"/>
        <family val="2"/>
      </rPr>
      <t xml:space="preserve"> &amp; </t>
    </r>
    <r>
      <rPr>
        <b/>
        <i/>
        <sz val="9"/>
        <color theme="5" tint="0.79995117038483843"/>
        <rFont val="Arial"/>
        <family val="2"/>
      </rPr>
      <t>Her</t>
    </r>
    <r>
      <rPr>
        <b/>
        <i/>
        <sz val="9"/>
        <color theme="0"/>
        <rFont val="Arial"/>
        <family val="2"/>
      </rPr>
      <t xml:space="preserve">  Retirement Age</t>
    </r>
  </si>
  <si>
    <t># Years Until Retirement</t>
  </si>
  <si>
    <t>His Current Gross Monthly Job Income</t>
  </si>
  <si>
    <t>His Annual</t>
  </si>
  <si>
    <t>Her Current Gross Monthly Job Income</t>
  </si>
  <si>
    <t>Her Annual</t>
  </si>
  <si>
    <t xml:space="preserve"> Net Monthly Income Needed in Retirement</t>
  </si>
  <si>
    <t>Listed below are Your Income Sources That Should Meet or Exceed Your Target Gross Income Need Listed Above</t>
  </si>
  <si>
    <t>Joint Income</t>
  </si>
  <si>
    <t>Her Survival Income</t>
  </si>
  <si>
    <t>His Survival Income</t>
  </si>
  <si>
    <t>His Soc Sec</t>
  </si>
  <si>
    <t>His Annual Soc Sec Amt =</t>
  </si>
  <si>
    <t>Her Soc Sec</t>
  </si>
  <si>
    <t>Her Annual Soc Sec Amt =</t>
  </si>
  <si>
    <t>His Income Sources</t>
  </si>
  <si>
    <t>Survival</t>
  </si>
  <si>
    <t>Source Name, Age Income Starts and Percentage of Survival Income to Her</t>
  </si>
  <si>
    <t>His/Single Pension</t>
  </si>
  <si>
    <t>His/Single Other</t>
  </si>
  <si>
    <t>Her Income Sources</t>
  </si>
  <si>
    <t>Source Name, Age Income Starts and Percentage of Survival Income to Him</t>
  </si>
  <si>
    <t>Her/Single Pension</t>
  </si>
  <si>
    <t>Her/Single Other</t>
  </si>
  <si>
    <t>Total Joint Projected Income</t>
  </si>
  <si>
    <t>Total Her Survival Income</t>
  </si>
  <si>
    <t>Total His Survival Income</t>
  </si>
  <si>
    <t xml:space="preserve">A Pos. Number Represents a Surplus a Neg. is a Shortfall of Income </t>
  </si>
  <si>
    <t>tomfitz4@comcast.net</t>
  </si>
  <si>
    <t xml:space="preserve">Gold  Strategy Carol Kurczak Survival Income </t>
  </si>
  <si>
    <t xml:space="preserve">Gold Strategy Michael Kurczak Survival Income </t>
  </si>
  <si>
    <t>Retirement  GOLD Strategy, Market Protection, Inflation Protection and LTC Protection</t>
  </si>
  <si>
    <t>RETIREMENT</t>
  </si>
  <si>
    <t>GOLD</t>
  </si>
  <si>
    <t>PLAN</t>
  </si>
  <si>
    <r>
      <rPr>
        <b/>
        <sz val="16"/>
        <color theme="1"/>
        <rFont val="Arial Narrow"/>
        <family val="2"/>
      </rPr>
      <t>2019 Income &amp; LTC Snapshot</t>
    </r>
    <r>
      <rPr>
        <sz val="16"/>
        <color theme="1"/>
        <rFont val="Arial Narrow"/>
        <family val="2"/>
      </rPr>
      <t xml:space="preserve"> </t>
    </r>
  </si>
  <si>
    <r>
      <rPr>
        <b/>
        <sz val="16"/>
        <color theme="1"/>
        <rFont val="Arial Narrow"/>
        <family val="2"/>
      </rPr>
      <t>2021 Income &amp; LTC Snapshot</t>
    </r>
    <r>
      <rPr>
        <sz val="16"/>
        <color theme="1"/>
        <rFont val="Arial Narrow"/>
        <family val="2"/>
      </rPr>
      <t xml:space="preserve"> </t>
    </r>
  </si>
  <si>
    <r>
      <rPr>
        <b/>
        <sz val="16"/>
        <color theme="1"/>
        <rFont val="Arial Narrow"/>
        <family val="2"/>
      </rPr>
      <t>2023 Income &amp; LTC Snapshot</t>
    </r>
    <r>
      <rPr>
        <sz val="16"/>
        <color theme="1"/>
        <rFont val="Arial Narrow"/>
        <family val="2"/>
      </rPr>
      <t xml:space="preserve"> </t>
    </r>
  </si>
  <si>
    <r>
      <rPr>
        <b/>
        <sz val="16"/>
        <color theme="1"/>
        <rFont val="Arial Narrow"/>
        <family val="2"/>
      </rPr>
      <t>2025 Income &amp; LTC Snapshot</t>
    </r>
    <r>
      <rPr>
        <sz val="16"/>
        <color theme="1"/>
        <rFont val="Arial Narrow"/>
        <family val="2"/>
      </rPr>
      <t xml:space="preserve"> </t>
    </r>
  </si>
  <si>
    <t xml:space="preserve">Silver Strategy with Laddered Joint Income, Inflation Protection and LTC Income Protection </t>
  </si>
  <si>
    <t>Silver Strategy Carol Kurczak Survival Income</t>
  </si>
  <si>
    <t>Silver Strategy Mike Kurczak Survival Income</t>
  </si>
  <si>
    <t>FIA $100,000 with 7% Income Rider Growth - $7,000 bonus Provides Guaranteed Income for both Lives. Start Income Nov 2021</t>
  </si>
  <si>
    <t xml:space="preserve">Foundation G Silver Strategy with Laddered Joint Income, Inflation Protection and LTC Income Protect </t>
  </si>
  <si>
    <t>FIA $100,000 with 7% Income Rider Growth - $7,000 bonus Provides Guaranteed Income for both Lives Start Income Nov 2019</t>
  </si>
  <si>
    <t>FIA $100,000 with 7% Income Rider Growth - $7,000 bonus Provides Guaranteed Income for both Lives. Start Income Nov 2025</t>
  </si>
  <si>
    <t>Foundation G Silver Strategy Carol Kurczak Survival Income</t>
  </si>
  <si>
    <t>Foundation Silver Strategy Mike Kurczak Survival Income</t>
  </si>
  <si>
    <t>Income Snapshot - No Planning</t>
  </si>
  <si>
    <t>Your employment income is currently $137,400 per year</t>
  </si>
  <si>
    <t>Your retirement income will drop to $81,603 per year</t>
  </si>
  <si>
    <t>Income Snapshot - No Income/Asset Protection for Market Downturn</t>
  </si>
  <si>
    <t>Her Survival</t>
  </si>
  <si>
    <t>His Survival</t>
  </si>
  <si>
    <t>85% of Life Savings invested at Market Risk</t>
  </si>
  <si>
    <t>$418,0138 subject to Bond Interest Rate Volatility Loss</t>
  </si>
  <si>
    <t>Which represents 54.7% of your largest asset your 401k</t>
  </si>
  <si>
    <t>Retirement - SILVER Strategy, Market Protection, Inflation Protection and LTC Protection</t>
  </si>
  <si>
    <t>SILVER</t>
  </si>
  <si>
    <t>We are Repositioning $300,000</t>
  </si>
  <si>
    <r>
      <rPr>
        <b/>
        <sz val="16"/>
        <color theme="1"/>
        <rFont val="Arial Narrow"/>
        <family val="2"/>
      </rPr>
      <t xml:space="preserve">2021 Income &amp; LTC Snapshot </t>
    </r>
    <r>
      <rPr>
        <sz val="16"/>
        <color theme="1"/>
        <rFont val="Arial Narrow"/>
        <family val="2"/>
      </rPr>
      <t xml:space="preserve"> </t>
    </r>
  </si>
  <si>
    <r>
      <rPr>
        <b/>
        <sz val="14"/>
        <color rgb="FFFF0000"/>
        <rFont val="Arial Narrow"/>
        <family val="2"/>
      </rPr>
      <t xml:space="preserve">Aggressive Investor </t>
    </r>
    <r>
      <rPr>
        <b/>
        <sz val="14"/>
        <rFont val="Arial Narrow"/>
        <family val="2"/>
      </rPr>
      <t xml:space="preserve">120 - average age of client &amp; spouse 64 = </t>
    </r>
    <r>
      <rPr>
        <b/>
        <sz val="14"/>
        <color rgb="FFFF0000"/>
        <rFont val="Arial Narrow"/>
        <family val="2"/>
      </rPr>
      <t>56% Mkt Sensitive</t>
    </r>
  </si>
  <si>
    <r>
      <rPr>
        <b/>
        <sz val="14"/>
        <color rgb="FFFF0000"/>
        <rFont val="Arial Narrow"/>
        <family val="2"/>
      </rPr>
      <t xml:space="preserve">Moderate Investor </t>
    </r>
    <r>
      <rPr>
        <b/>
        <sz val="14"/>
        <rFont val="Arial Narrow"/>
        <family val="2"/>
      </rPr>
      <t xml:space="preserve">110 - average age of client &amp; spouse 64 = </t>
    </r>
    <r>
      <rPr>
        <b/>
        <sz val="14"/>
        <color rgb="FFFF0000"/>
        <rFont val="Arial Narrow"/>
        <family val="2"/>
      </rPr>
      <t>46% Mkt Sensitive</t>
    </r>
  </si>
  <si>
    <t>Foundation SILVER Strategy, Market Protection, Inflation Protection and LTC Protection</t>
  </si>
  <si>
    <t>FOUNDATION</t>
  </si>
  <si>
    <t>Silver Strategy Joint Life Income for Market Protection, with LTC protection, no Inflation ladder</t>
  </si>
  <si>
    <t>Silver Income Strategy with Market Protection</t>
  </si>
  <si>
    <t>Your</t>
  </si>
  <si>
    <t>Income Snapshot - No Plan for Market Downturn</t>
  </si>
  <si>
    <t>Inc. GAP</t>
  </si>
  <si>
    <t xml:space="preserve">Current Annual Income Target </t>
  </si>
  <si>
    <t xml:space="preserve">   Gold Hybrid Plan</t>
  </si>
  <si>
    <t xml:space="preserve">Bill Roll and Combine IRA's Vanguard $122,093 + Wells Fargo $68,032 + NW VA $9,875 = $200,000 </t>
  </si>
  <si>
    <t xml:space="preserve">Cathy Roll and Combine IRA's, Some 401K $151,173 + NW VA $9,875 + NW VA $16,913 + Wells Fargo $22,039 = $200,000  </t>
  </si>
  <si>
    <t>2,275 + COLA</t>
  </si>
  <si>
    <t>2,346 + COLA</t>
  </si>
  <si>
    <t>Employment</t>
  </si>
  <si>
    <t xml:space="preserve"> $200,000 + 8% Bonus = $16,000= $216,000 Switch on Income Rider Dec of 2018. Income Rider grows at 6% Joint Income 
</t>
  </si>
  <si>
    <t>IRA Assets Total</t>
  </si>
  <si>
    <t xml:space="preserve">In 2012 Inflation was 3.6% </t>
  </si>
  <si>
    <t xml:space="preserve">In 2013 inflation was 1.7% </t>
  </si>
  <si>
    <t xml:space="preserve">In 2014 inflation was 1.7% </t>
  </si>
  <si>
    <t xml:space="preserve">In 2015 inflation is 1.7% </t>
  </si>
  <si>
    <t xml:space="preserve">In 2016 inflation is 1.7% </t>
  </si>
  <si>
    <t>In Only Five Years You Safely Lost Buying Power equal to</t>
  </si>
  <si>
    <t xml:space="preserve">Retirement Age </t>
  </si>
  <si>
    <t>Combined Monthly Income</t>
  </si>
  <si>
    <t xml:space="preserve">Gross Annual Income before taxes </t>
  </si>
  <si>
    <t>Approx. Monthly Expenses</t>
  </si>
  <si>
    <t>Desired Retirement Income</t>
  </si>
  <si>
    <t>His SSI</t>
  </si>
  <si>
    <t>Her SSI</t>
  </si>
  <si>
    <t>Start Age</t>
  </si>
  <si>
    <t>His/Other</t>
  </si>
  <si>
    <t xml:space="preserve">Start Age </t>
  </si>
  <si>
    <t>Her/Other</t>
  </si>
  <si>
    <t xml:space="preserve">  Total of Your Retirement Income</t>
  </si>
  <si>
    <t>Survival Income if one passes on before the other</t>
  </si>
  <si>
    <r>
      <t xml:space="preserve">  Subtract Retirement Income from Cost to Live and Your Income Shortfall is</t>
    </r>
    <r>
      <rPr>
        <i/>
        <sz val="16"/>
        <color rgb="FFFF0000"/>
        <rFont val="Arial"/>
        <family val="2"/>
      </rPr>
      <t xml:space="preserve">  </t>
    </r>
  </si>
  <si>
    <t>Income shortfall if one passes on before the other</t>
  </si>
  <si>
    <t>The 4% Rule in Up Markets and Spend Down Protection in Down Markets</t>
  </si>
  <si>
    <t>Do You have a plan to hedge the downside risks?</t>
  </si>
  <si>
    <t>Google Finance S&amp;P 500</t>
  </si>
  <si>
    <t xml:space="preserve">Her Survival Income Silver Hybrid Plan </t>
  </si>
  <si>
    <t xml:space="preserve">Bill Roll and Combine IRA's Vanguard $72,093 + Wells Fargo $68,032 + NW VA $9,875 = $150,000 </t>
  </si>
  <si>
    <t xml:space="preserve">Cathy Roll and Combine IRA's, Some 401K $101,173 + NW VA $9,875 + NW VA $16,913 + Wells Fargo $22,039 = $150,000  </t>
  </si>
  <si>
    <t xml:space="preserve"> $150,000 + 8% Bonus = $12,000= $162,000 Switch on Income Rider Dec of 2018. Income Rider grows at 6% Joint Income 
</t>
  </si>
  <si>
    <t>His Survival Silver Hybrid Plan</t>
  </si>
  <si>
    <t xml:space="preserve">His Survival Income  </t>
  </si>
  <si>
    <t>Gold Hybrid Plan</t>
  </si>
  <si>
    <t>His Social Security Income</t>
  </si>
  <si>
    <t>Silver Hybrid Plan</t>
  </si>
  <si>
    <t>Her Social Security Income</t>
  </si>
  <si>
    <t>William C Ross and Catherine A Ross</t>
  </si>
  <si>
    <t>Targeted Income</t>
  </si>
  <si>
    <t>1167 Driftwood Lane Bartlett, Illinois 60103</t>
  </si>
  <si>
    <t>630-561-8810</t>
  </si>
  <si>
    <t>Non-Retirement Accounts:</t>
  </si>
  <si>
    <t>BMO Savings</t>
  </si>
  <si>
    <t>Bill</t>
  </si>
  <si>
    <t>BMO Checking</t>
  </si>
  <si>
    <t>Cathy</t>
  </si>
  <si>
    <t>Retirement Accounts:</t>
  </si>
  <si>
    <t>O Neal</t>
  </si>
  <si>
    <t>Vanguard</t>
  </si>
  <si>
    <t>Roll IRA to IRA</t>
  </si>
  <si>
    <t>Move</t>
  </si>
  <si>
    <t>Wells Fargo</t>
  </si>
  <si>
    <t>Roll IRA to IRA Acct 6226-3421</t>
  </si>
  <si>
    <t>Northwestern VA</t>
  </si>
  <si>
    <t>8826276</t>
  </si>
  <si>
    <t>Roll</t>
  </si>
  <si>
    <t>AUCA Fidelity</t>
  </si>
  <si>
    <t>Roll money via In Service Distribution to new IRA</t>
  </si>
  <si>
    <t>Northwestern</t>
  </si>
  <si>
    <t>8826328</t>
  </si>
  <si>
    <t>8519873</t>
  </si>
  <si>
    <t>Roll IRA to IRA Acct 7695-4068</t>
  </si>
  <si>
    <t>Market Assets available for Investment</t>
  </si>
  <si>
    <t>Two new Hybrid IRA's to supplement income in down market years</t>
  </si>
  <si>
    <t>Whole Life</t>
  </si>
  <si>
    <t>Adjust comp</t>
  </si>
  <si>
    <t>Purchase Amount</t>
  </si>
  <si>
    <t>Mortgage Type</t>
  </si>
  <si>
    <t>joint</t>
  </si>
  <si>
    <t>1167 Driftwood Ln</t>
  </si>
  <si>
    <t>Platinum Hybrid Plan</t>
  </si>
  <si>
    <t>Step up Hybrid IRA's to supplement income in down market years</t>
  </si>
  <si>
    <t xml:space="preserve">Joint Income Platinum Hybrid Plan </t>
  </si>
  <si>
    <t>Bill wants to Retire at age 66 and Cathy wants to retire at age 63</t>
  </si>
  <si>
    <t xml:space="preserve">Both donot qualify for Social Security switching options - see notes below </t>
  </si>
  <si>
    <t xml:space="preserve">Bill to Roll and Combine IRA's Vanguard $122,093 + Wells Fargo $68,032 + NW VA $9,875 = $200,000 </t>
  </si>
  <si>
    <t xml:space="preserve">Cathy to Roll and Combine IRA's, Some 401K $151,173 + NW VA $9,875 + NW VA $16,913 + Wells Fargo $22,039 = $200,000  </t>
  </si>
  <si>
    <t>Bill to Roll move $100,000 from Vanguard</t>
  </si>
  <si>
    <t>Cathy to move $100,000 from 401k</t>
  </si>
  <si>
    <t>$100,000 + 8% Bonus = $108,000 Switch on Income Rider Dec of 2019. Income Rider grows at 6% joint income</t>
  </si>
  <si>
    <t>$100,000 + 8% Bonus = $108,000 Switch on Income Rider Dec of 2021. Income Rider grows at 6% joint income</t>
  </si>
  <si>
    <t>No Spend down Hedge Fund Plan - at the mercy of the market</t>
  </si>
  <si>
    <t>Annuity Education Page</t>
  </si>
  <si>
    <t>Target Annual Income Goal is</t>
  </si>
  <si>
    <t>pe</t>
  </si>
  <si>
    <t>No Spend down Hedge Fund Plan</t>
  </si>
  <si>
    <t xml:space="preserve">No Plan </t>
  </si>
  <si>
    <t xml:space="preserve">   Platinum Hybrid Plan</t>
  </si>
  <si>
    <t xml:space="preserve">Joint Income forecast in the absence of Spend down Protection Plan </t>
  </si>
  <si>
    <t>Her Survival Income in absense of a Spend down Protection Plan</t>
  </si>
  <si>
    <t xml:space="preserve">His Survival Income in absence of a Spend down Protection Plan </t>
  </si>
  <si>
    <t>30 days</t>
  </si>
  <si>
    <t>Cash Flow - and the 4% Rule</t>
  </si>
  <si>
    <t>Nest Egg Amount</t>
  </si>
  <si>
    <t>Year 1 Ending Balance</t>
  </si>
  <si>
    <t>If Market Stays Level for the next 10 Years</t>
  </si>
  <si>
    <t>Yr 2000</t>
  </si>
  <si>
    <t>Yr 2001</t>
  </si>
  <si>
    <t>Yr 2002</t>
  </si>
  <si>
    <t>Yr 2003</t>
  </si>
  <si>
    <t>Yr 2004</t>
  </si>
  <si>
    <t>Yr 2005</t>
  </si>
  <si>
    <t>Yr 2006</t>
  </si>
  <si>
    <t>Yr 2007</t>
  </si>
  <si>
    <t>Yr 2008</t>
  </si>
  <si>
    <t xml:space="preserve">Year 11 </t>
  </si>
  <si>
    <t>Proposed</t>
  </si>
  <si>
    <t xml:space="preserve">Maximize Retirement Income Comparison Results </t>
  </si>
  <si>
    <t>Plan B No Cost - and 8% Bonus</t>
  </si>
  <si>
    <t>SSI 63</t>
  </si>
  <si>
    <t>Plan B No Cost WITH Ladder of Annuities and 8% Bonus</t>
  </si>
  <si>
    <t>No Plan = Insufficent Income and No Long Term Care Protection</t>
  </si>
  <si>
    <t>With Plan B there are No Costs, it includes an 8% Bonus</t>
  </si>
  <si>
    <t>Ther is No LTC Income Doubler on any of these Plans</t>
  </si>
  <si>
    <t>Desired Annual Income</t>
  </si>
  <si>
    <t xml:space="preserve">Joint Income for Life Assessment </t>
  </si>
  <si>
    <t>Steve Retires December 2017 age 62 takes Social Security at age 66</t>
  </si>
  <si>
    <t>Phyllis could retire August 2018 age 63. Age 63 Social Security Starts benfits in Jan 2019 due to Earnings Test</t>
  </si>
  <si>
    <t>2017 job earnings 8 mo = $58,664 It would be better for Phyllis to work to December of 2018</t>
  </si>
  <si>
    <t>New IRA Roll $157,500 from Steve's 401k via In Service Distribution</t>
  </si>
  <si>
    <t>New IRA Roll $368,000 from Phyllis 401k via in Service Distribution</t>
  </si>
  <si>
    <t xml:space="preserve">Age 64 $2,269 + COLA of 2% </t>
  </si>
  <si>
    <t xml:space="preserve">Age 63 $1,598 + COLA of 2% </t>
  </si>
  <si>
    <t>Employment $52,000/12 = $4,333.33 per mo</t>
  </si>
  <si>
    <t>Employment $88,000/12= $7,333.33 per mo</t>
  </si>
  <si>
    <t>Turn on GWBGW Rider Dec 2018, after 2 Years eligible to turn on LTC Income Doubler good for 5 Years</t>
  </si>
  <si>
    <t>Turn on GWBGW Rider Dec 2018 after 2 Years eligible to Turn on LTC Income Doubler Good for 5 Years</t>
  </si>
  <si>
    <t>Recap Income for Life and Spousal Protection Planning</t>
  </si>
  <si>
    <t>Yearly Income Needed to Support Lifestyle $80,000</t>
  </si>
  <si>
    <t>The Analysis reflects Retirement Income without a Plan at</t>
  </si>
  <si>
    <r>
      <rPr>
        <b/>
        <sz val="12"/>
        <color theme="0"/>
        <rFont val="Calibri"/>
        <family val="2"/>
        <scheme val="minor"/>
      </rPr>
      <t xml:space="preserve">Joint Income </t>
    </r>
    <r>
      <rPr>
        <b/>
        <sz val="12"/>
        <color theme="5" tint="0.59996337778862885"/>
        <rFont val="Calibri"/>
        <family val="2"/>
        <scheme val="minor"/>
      </rPr>
      <t>Her Survival</t>
    </r>
    <r>
      <rPr>
        <b/>
        <sz val="12"/>
        <color theme="0"/>
        <rFont val="Calibri"/>
        <family val="2"/>
        <scheme val="minor"/>
      </rPr>
      <t xml:space="preserve"> and</t>
    </r>
    <r>
      <rPr>
        <b/>
        <sz val="12"/>
        <color theme="4" tint="0.59996337778862885"/>
        <rFont val="Calibri"/>
        <family val="2"/>
        <scheme val="minor"/>
      </rPr>
      <t xml:space="preserve"> His Survival</t>
    </r>
  </si>
  <si>
    <t>Age 70</t>
  </si>
  <si>
    <t>No Guarantees &amp; High Risk</t>
  </si>
  <si>
    <t>Optimized Income adds Additonal $87,590 in Social Security</t>
  </si>
  <si>
    <t>Age70</t>
  </si>
  <si>
    <t>Additional Soc Sec Income $87,590</t>
  </si>
  <si>
    <t>Guaranteed Income without Social Security Optimization</t>
  </si>
  <si>
    <t>Guaranteed Income - Less Soc Sec</t>
  </si>
  <si>
    <t>We are Repositioning $382,900 using the following Assets</t>
  </si>
  <si>
    <t>Moving $138,900 from Bob's Fidelity IRA to new FIA</t>
  </si>
  <si>
    <t>Moving $244,000 from Sally's 401k by In Service Distribution</t>
  </si>
  <si>
    <t>to new Fixed Indexed Annuity</t>
  </si>
  <si>
    <t>Ladder of Retirement Income Results and Comparison</t>
  </si>
  <si>
    <t>Funds Laddered Between three Companies</t>
  </si>
  <si>
    <t xml:space="preserve">Age 62-63 No Strategy, Your Projected Income for Life </t>
  </si>
  <si>
    <r>
      <t xml:space="preserve">Income </t>
    </r>
    <r>
      <rPr>
        <b/>
        <sz val="11"/>
        <color rgb="FFFFFF00"/>
        <rFont val="Wingdings"/>
      </rPr>
      <t>è</t>
    </r>
  </si>
  <si>
    <t>Age 63-65 Income for Life Maximized Income Strategy</t>
  </si>
  <si>
    <t>Age 64-66 Income Increases with Income Strategy</t>
  </si>
  <si>
    <t>Age 66-68 Income Increases with Income Strategy</t>
  </si>
  <si>
    <t>Age 68-70 Income Increases with Income Strategy</t>
  </si>
  <si>
    <t>Retirement Spend Down Calculator</t>
  </si>
  <si>
    <t>Dan's Spend Down until he runs out of money</t>
  </si>
  <si>
    <t>Investment at Retirement</t>
  </si>
  <si>
    <t>Date of Retirement</t>
  </si>
  <si>
    <t>Annual Interest Rate</t>
  </si>
  <si>
    <t>Withdrawal Frequency</t>
  </si>
  <si>
    <t>Annually</t>
  </si>
  <si>
    <t>rate per period</t>
  </si>
  <si>
    <t>First Withdrawal</t>
  </si>
  <si>
    <t>payments per year</t>
  </si>
  <si>
    <t>Payment Type</t>
  </si>
  <si>
    <t>Beginning of Period</t>
  </si>
  <si>
    <t>type</t>
  </si>
  <si>
    <t>Annual Inflation Rate</t>
  </si>
  <si>
    <t>inflation per period</t>
  </si>
  <si>
    <t>Results</t>
  </si>
  <si>
    <t>Years Until Retirement</t>
  </si>
  <si>
    <t>Age at Retirement</t>
  </si>
  <si>
    <t>Initial Withdrawal</t>
  </si>
  <si>
    <t>Number of Payouts</t>
  </si>
  <si>
    <t>Age at Last Payout</t>
  </si>
  <si>
    <t>Final Payout</t>
  </si>
  <si>
    <t>Total Interest Earned</t>
  </si>
  <si>
    <t>Total Withdrawals</t>
  </si>
  <si>
    <t>Payout Schedule</t>
  </si>
  <si>
    <t>#</t>
  </si>
  <si>
    <t>Date</t>
  </si>
  <si>
    <t>Interest
Earned</t>
  </si>
  <si>
    <t>Withdrawal Amount</t>
  </si>
  <si>
    <t>Additional Withdrawal</t>
  </si>
  <si>
    <t xml:space="preserve">This Income for Life Strategy and Plan Protects Your Retirement </t>
  </si>
  <si>
    <t xml:space="preserve">MRI Results = Insufficent Income &amp; 75% Asset Risk </t>
  </si>
  <si>
    <t>Income Floor $55,200 to $155,000 per yr</t>
  </si>
  <si>
    <t>Non-Optimized Soc Sec Approx Lifetime Benefits Loss $62,995</t>
  </si>
  <si>
    <t>Approx Lifetime Benefits $684,939</t>
  </si>
  <si>
    <t>Age 71</t>
  </si>
  <si>
    <t xml:space="preserve">Optimized Soc Sec Approx Lifetime Benefits Gain $62,995 </t>
  </si>
  <si>
    <t>Approx Lifetime Benefits $747,934</t>
  </si>
  <si>
    <t>An Income for Life Plan and Strategy</t>
  </si>
  <si>
    <t>Provides Sufficent Income and Reduces Asset Risk to 38%</t>
  </si>
  <si>
    <t xml:space="preserve">Income Floor $55,200 to $155,000 per yr </t>
  </si>
  <si>
    <t xml:space="preserve">Non-Optimized Social Security  </t>
  </si>
  <si>
    <t>Combined with Green Money</t>
  </si>
  <si>
    <t xml:space="preserve">Gain approx $62,995 with Optimized Social Security </t>
  </si>
  <si>
    <t>Optimized Combined with Green Money</t>
  </si>
  <si>
    <t xml:space="preserve">Suitability, Rate the Plan on a Scale 1 to 10 </t>
  </si>
  <si>
    <t>Moving Money Created a Turn Key Income for Life System</t>
  </si>
  <si>
    <t xml:space="preserve">We Transferred $200,000 from Steve's 401K to IRA FIA </t>
  </si>
  <si>
    <t xml:space="preserve">We Transferred $100,000 from Money Mkt Account </t>
  </si>
  <si>
    <t xml:space="preserve">The Money Mkt account pays almost no interest </t>
  </si>
  <si>
    <t>Are all Your Eggs in one basket?  Are You Market Dependent for Income?</t>
  </si>
  <si>
    <t>The ABC's of Investing Planning Model</t>
  </si>
  <si>
    <t>No Assets = No Income</t>
  </si>
  <si>
    <t>Moving $138,900 from Dan's Fidelity IRA to new FIA</t>
  </si>
  <si>
    <t>Moving $244,000 from Susan's 401k by In Service Distribution</t>
  </si>
  <si>
    <t>Maximizing Retirement Income Results and Comparison</t>
  </si>
  <si>
    <t>www.AmericaUnitedWealthPlanning.com</t>
  </si>
  <si>
    <t>Present Houshold Income $104,000.00 Per Year</t>
  </si>
  <si>
    <t>Retirement Income with No Planning in Place</t>
  </si>
  <si>
    <t>Income Target</t>
  </si>
  <si>
    <t>Projected Income</t>
  </si>
  <si>
    <r>
      <t xml:space="preserve">GAP or </t>
    </r>
    <r>
      <rPr>
        <b/>
        <i/>
        <sz val="14"/>
        <rFont val="Calibri"/>
        <family val="2"/>
      </rPr>
      <t>Surplus</t>
    </r>
  </si>
  <si>
    <t>Retirement Income with Holistic Income for Life Plan</t>
  </si>
  <si>
    <t xml:space="preserve">           Social Social Security plus Annuity Income Schedule</t>
  </si>
  <si>
    <t>His Upfront  free Social Security Money $56,060.00</t>
  </si>
  <si>
    <t xml:space="preserve">His at age 71 is $42,061.29 vs $40,476.00 </t>
  </si>
  <si>
    <t>Her Upfront free Social Security Money $2,472.59</t>
  </si>
  <si>
    <t>Her at age 70 is $16,579.81 vs $10,638.92</t>
  </si>
  <si>
    <r>
      <t>Annuity Income Projections</t>
    </r>
    <r>
      <rPr>
        <b/>
        <i/>
        <sz val="14"/>
        <color indexed="13"/>
        <rFont val="Calibri"/>
        <family val="2"/>
      </rPr>
      <t xml:space="preserve"> (rider cost .95 + Bonus 4% $8,160)</t>
    </r>
  </si>
  <si>
    <t>Moving $204,000 Merrill Lynch into FIA with Income Rider</t>
  </si>
  <si>
    <t>Joint Life Guaranteed Income = $12,602 per yr Net</t>
  </si>
  <si>
    <t>Principle Protected, All Gains Retained and Guranteed Income</t>
  </si>
  <si>
    <t>Plan B     Projected Income for Life with LTC Income Doubler</t>
  </si>
  <si>
    <t>The Plan includes a Long Term Care Income Doubler</t>
  </si>
  <si>
    <t>To be eligible for the Income Doubler you must wait 2 yrs from Contract date</t>
  </si>
  <si>
    <t xml:space="preserve">After 2 Year wait period You can turn on the Income Doubler for a LTC event </t>
  </si>
  <si>
    <t>Your Income would double to $56,228.00 per Year for 5 Years</t>
  </si>
  <si>
    <t xml:space="preserve">After 5 Years Your income goes back to $28,114 per yr guaranteed for both lives </t>
  </si>
  <si>
    <t>Annuity costs are -0-, costs for Income Rider is 1.10 includes LTC and Spousal Continueance</t>
  </si>
  <si>
    <t xml:space="preserve">Wealth Creation Estimated - Income and Asset Risk Results </t>
  </si>
  <si>
    <t>Target</t>
  </si>
  <si>
    <t>Plan C   Inflation Strategy using an Annuity Ladder</t>
  </si>
  <si>
    <t xml:space="preserve">     Income for Life with LTC Income Doubler</t>
  </si>
  <si>
    <t>SSI 66</t>
  </si>
  <si>
    <t>Plan D No Cost Inflation Strategy using an Annuity Ladder</t>
  </si>
  <si>
    <t>Plan B Has -0- Cost and an 8% Bonus</t>
  </si>
  <si>
    <t>There is No LTC Income Doubler on this Plan</t>
  </si>
  <si>
    <t>The Plan A includes a Long Term Care Income Doubler</t>
  </si>
  <si>
    <t>These figures are based on Plan A Projections, Income doubler is available on both plans</t>
  </si>
  <si>
    <t>Both needing LTC Your Income would double to $62,642.00 per Year for 5 Years</t>
  </si>
  <si>
    <t xml:space="preserve">After 5 Years Your income goes back to $31,321.00 per yr guaranteed for both lives </t>
  </si>
  <si>
    <t>Plan A   No Inflation Strategy No ladder of Annuities</t>
  </si>
  <si>
    <t>Plan B No Cost No Inflation Strategy No ladder of Annuities</t>
  </si>
  <si>
    <t>Total Cash</t>
  </si>
  <si>
    <t>Total Annuities</t>
  </si>
  <si>
    <t>TOTAL ASSETS</t>
  </si>
  <si>
    <t>TOTAL LIABILITIES</t>
  </si>
  <si>
    <t>NET WORTH</t>
  </si>
  <si>
    <t xml:space="preserve">Income for Life - Current with No Plan in Place - Retirement Income Snapshot </t>
  </si>
  <si>
    <t xml:space="preserve">Income for Life - 175K Silver Plan Retirement Income Snapshot </t>
  </si>
  <si>
    <t>175K Silver Plan Asset Allocations</t>
  </si>
  <si>
    <t>Ntegrity Law 847-737-1800 ext 105</t>
  </si>
  <si>
    <t>2026</t>
  </si>
  <si>
    <t>$1,074.00 per mo</t>
  </si>
  <si>
    <t xml:space="preserve">Income for Life - Gold Plan $179K Private Pension and Retirement Income Snapshot </t>
  </si>
  <si>
    <t>125 Your Plane</t>
  </si>
  <si>
    <t>Shawn M Sample</t>
  </si>
  <si>
    <t>Colleen R Sample</t>
  </si>
  <si>
    <t>Approximate Monthly Living Expenses ($)</t>
  </si>
  <si>
    <t>Desired Monthly Income After Retirement ($)</t>
  </si>
  <si>
    <t xml:space="preserve"> = Gross Annual Living Expenses (25% Added in for taxest) </t>
  </si>
  <si>
    <t>Net Spendable</t>
  </si>
  <si>
    <t xml:space="preserve">Notes </t>
  </si>
  <si>
    <t>Mary Sample</t>
  </si>
  <si>
    <t>Living Expenses</t>
  </si>
  <si>
    <t>Social Securiy Income</t>
  </si>
  <si>
    <t>Net Monthly Living Expenses</t>
  </si>
  <si>
    <t>Add on min of 25% for Taxes</t>
  </si>
  <si>
    <t>Social Security Monthly</t>
  </si>
  <si>
    <t>Mr James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</si>
</sst>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409]mmmm\ d\,\ yyyy;@"/>
    <numFmt numFmtId="166" formatCode="0.000%"/>
    <numFmt numFmtId="167" formatCode="0.0"/>
    <numFmt numFmtId="168" formatCode="#,##0.0_);[Red]\(#,##0.0\)"/>
    <numFmt numFmtId="169" formatCode="_([$$-409]* #,##0.00_);_([$$-409]* \(#,##0.00\);_([$$-409]* &quot;-&quot;??_);_(@_)"/>
    <numFmt numFmtId="170" formatCode="&quot;$&quot;#,##0.00;[Red]&quot;$&quot;#,##0.00"/>
    <numFmt numFmtId="171" formatCode="0.0%"/>
    <numFmt numFmtId="172" formatCode="m/d/yy;@"/>
    <numFmt numFmtId="173" formatCode="mm/dd/yy;@"/>
    <numFmt numFmtId="174" formatCode="&quot;$&quot;#,##0;[Red]\-&quot;$&quot;#,##0"/>
    <numFmt numFmtId="175" formatCode="\$#,##0.00"/>
  </numFmts>
  <fonts count="279">
    <font>
      <sz val="10"/>
      <name val="Arial"/>
    </font>
    <font>
      <sz val="10"/>
      <name val="Arial"/>
    </font>
    <font>
      <b/>
      <sz val="14"/>
      <name val="Arial"/>
    </font>
    <font>
      <sz val="10"/>
      <name val="Arial"/>
    </font>
    <font>
      <b/>
      <sz val="10"/>
      <name val="Arial"/>
    </font>
    <font>
      <b/>
      <sz val="12"/>
      <name val="Arial"/>
    </font>
    <font>
      <sz val="12"/>
      <name val="Arial"/>
    </font>
    <font>
      <sz val="8"/>
      <name val="Arial"/>
    </font>
    <font>
      <sz val="7"/>
      <name val="Arial"/>
    </font>
    <font>
      <sz val="11"/>
      <color indexed="8"/>
      <name val="Calibri"/>
    </font>
    <font>
      <sz val="11"/>
      <color indexed="9"/>
      <name val="Calibri"/>
    </font>
    <font>
      <sz val="11"/>
      <color indexed="20"/>
      <name val="Calibri"/>
    </font>
    <font>
      <b/>
      <sz val="11"/>
      <color indexed="52"/>
      <name val="Calibri"/>
    </font>
    <font>
      <b/>
      <sz val="11"/>
      <color indexed="9"/>
      <name val="Calibri"/>
    </font>
    <font>
      <i/>
      <sz val="11"/>
      <color indexed="23"/>
      <name val="Calibri"/>
    </font>
    <font>
      <sz val="11"/>
      <color indexed="17"/>
      <name val="Calibri"/>
    </font>
    <font>
      <b/>
      <sz val="15"/>
      <color indexed="56"/>
      <name val="Calibri"/>
    </font>
    <font>
      <b/>
      <sz val="13"/>
      <color indexed="56"/>
      <name val="Calibri"/>
    </font>
    <font>
      <b/>
      <sz val="11"/>
      <color indexed="56"/>
      <name val="Calibri"/>
    </font>
    <font>
      <sz val="11"/>
      <color indexed="62"/>
      <name val="Calibri"/>
    </font>
    <font>
      <sz val="11"/>
      <color indexed="52"/>
      <name val="Calibri"/>
    </font>
    <font>
      <sz val="11"/>
      <color indexed="60"/>
      <name val="Calibri"/>
    </font>
    <font>
      <b/>
      <sz val="11"/>
      <color indexed="63"/>
      <name val="Calibri"/>
    </font>
    <font>
      <b/>
      <sz val="18"/>
      <color indexed="56"/>
      <name val="Cambria"/>
    </font>
    <font>
      <b/>
      <sz val="11"/>
      <color indexed="8"/>
      <name val="Calibri"/>
    </font>
    <font>
      <sz val="11"/>
      <color indexed="10"/>
      <name val="Calibri"/>
    </font>
    <font>
      <sz val="9"/>
      <name val="Arial"/>
    </font>
    <font>
      <sz val="14"/>
      <name val="Arial"/>
    </font>
    <font>
      <sz val="14"/>
      <color indexed="57"/>
      <name val="Arial"/>
    </font>
    <font>
      <b/>
      <sz val="10"/>
      <color theme="1"/>
      <name val="Arial"/>
    </font>
    <font>
      <b/>
      <sz val="8"/>
      <name val="Arial"/>
    </font>
    <font>
      <sz val="10"/>
      <color theme="10"/>
      <name val="Arial"/>
    </font>
    <font>
      <b/>
      <sz val="10"/>
      <color theme="0"/>
      <name val="Arial"/>
    </font>
    <font>
      <b/>
      <sz val="12"/>
      <color theme="0"/>
      <name val="Arial"/>
    </font>
    <font>
      <b/>
      <sz val="10"/>
      <color rgb="FFFFFF00"/>
      <name val="Arial"/>
    </font>
    <font>
      <sz val="10"/>
      <color theme="0"/>
      <name val="Arial"/>
    </font>
    <font>
      <sz val="15"/>
      <color theme="0"/>
      <name val="Arial"/>
    </font>
    <font>
      <sz val="8"/>
      <color theme="0"/>
      <name val="Arial"/>
    </font>
    <font>
      <sz val="20"/>
      <color theme="0"/>
      <name val="Arial"/>
    </font>
    <font>
      <b/>
      <sz val="16"/>
      <color indexed="9"/>
      <name val="Arial"/>
    </font>
    <font>
      <sz val="10"/>
      <name val="Trebuchet MS"/>
    </font>
    <font>
      <sz val="10"/>
      <color indexed="12"/>
      <name val="Arial"/>
    </font>
    <font>
      <b/>
      <sz val="12"/>
      <color indexed="9"/>
      <name val="Arial"/>
    </font>
    <font>
      <sz val="11"/>
      <name val="Arial"/>
    </font>
    <font>
      <i/>
      <sz val="8"/>
      <name val="Arial"/>
    </font>
    <font>
      <b/>
      <sz val="10"/>
      <color indexed="9"/>
      <name val="Arial"/>
    </font>
    <font>
      <b/>
      <sz val="11"/>
      <color theme="1"/>
      <name val="Calibri"/>
    </font>
    <font>
      <b/>
      <sz val="14"/>
      <color theme="0"/>
      <name val="Calibri"/>
    </font>
    <font>
      <sz val="11"/>
      <color theme="0"/>
      <name val="Calibri"/>
    </font>
    <font>
      <b/>
      <i/>
      <sz val="11"/>
      <color theme="1"/>
      <name val="Calibri"/>
    </font>
    <font>
      <b/>
      <i/>
      <sz val="11"/>
      <color theme="0"/>
      <name val="Calibri"/>
    </font>
    <font>
      <sz val="11"/>
      <color theme="0"/>
      <name val="Calibri"/>
    </font>
    <font>
      <b/>
      <sz val="12"/>
      <color theme="0"/>
      <name val="Calibri"/>
    </font>
    <font>
      <b/>
      <sz val="12"/>
      <color theme="4" tint="0.59996337778862885"/>
      <name val="Calibri"/>
    </font>
    <font>
      <sz val="14"/>
      <color theme="0"/>
      <name val="Calibri"/>
    </font>
    <font>
      <b/>
      <sz val="11"/>
      <color theme="0"/>
      <name val="Calibri"/>
    </font>
    <font>
      <b/>
      <sz val="14"/>
      <color theme="1"/>
      <name val="Calibri"/>
    </font>
    <font>
      <b/>
      <sz val="18"/>
      <color theme="1"/>
      <name val="Calibri"/>
    </font>
    <font>
      <b/>
      <sz val="11"/>
      <color theme="0"/>
      <name val="Calibri"/>
    </font>
    <font>
      <b/>
      <sz val="10"/>
      <color theme="0"/>
      <name val="Arial"/>
    </font>
    <font>
      <b/>
      <i/>
      <sz val="10"/>
      <color rgb="FFFFFF00"/>
      <name val="Arial"/>
    </font>
    <font>
      <b/>
      <sz val="11"/>
      <name val="Calibri"/>
    </font>
    <font>
      <b/>
      <i/>
      <sz val="11"/>
      <name val="Calibri"/>
    </font>
    <font>
      <b/>
      <i/>
      <sz val="10"/>
      <name val="Arial"/>
    </font>
    <font>
      <b/>
      <i/>
      <sz val="11"/>
      <color theme="0"/>
      <name val="Arial"/>
    </font>
    <font>
      <sz val="11"/>
      <color theme="0"/>
      <name val="Arial"/>
    </font>
    <font>
      <b/>
      <i/>
      <sz val="10"/>
      <color theme="0"/>
      <name val="Arial"/>
    </font>
    <font>
      <i/>
      <sz val="10"/>
      <color theme="0"/>
      <name val="Arial"/>
    </font>
    <font>
      <b/>
      <sz val="12"/>
      <name val="Calibri"/>
    </font>
    <font>
      <b/>
      <i/>
      <sz val="14"/>
      <name val="Calibri"/>
    </font>
    <font>
      <b/>
      <i/>
      <sz val="14"/>
      <color theme="0"/>
      <name val="Calibri"/>
    </font>
    <font>
      <b/>
      <sz val="12"/>
      <color theme="1"/>
      <name val="Arial"/>
    </font>
    <font>
      <b/>
      <i/>
      <sz val="11"/>
      <color theme="1"/>
      <name val="Arial"/>
    </font>
    <font>
      <b/>
      <i/>
      <sz val="12"/>
      <name val="Arial"/>
    </font>
    <font>
      <b/>
      <i/>
      <sz val="12"/>
      <color theme="0"/>
      <name val="Calibri"/>
    </font>
    <font>
      <b/>
      <i/>
      <sz val="14"/>
      <name val="Arial"/>
    </font>
    <font>
      <sz val="16"/>
      <name val="Arial"/>
    </font>
    <font>
      <b/>
      <sz val="14"/>
      <color theme="4" tint="-0.49995422223578601"/>
      <name val="Arial"/>
    </font>
    <font>
      <i/>
      <sz val="14"/>
      <name val="Arial"/>
    </font>
    <font>
      <b/>
      <sz val="14"/>
      <color rgb="FFFF0000"/>
      <name val="Calibri"/>
    </font>
    <font>
      <b/>
      <sz val="20"/>
      <name val="Calibri"/>
    </font>
    <font>
      <b/>
      <sz val="20"/>
      <color theme="1"/>
      <name val="Calibri"/>
    </font>
    <font>
      <b/>
      <sz val="20"/>
      <color theme="0"/>
      <name val="Calibri"/>
    </font>
    <font>
      <sz val="11"/>
      <name val="Calibri"/>
    </font>
    <font>
      <b/>
      <i/>
      <sz val="16"/>
      <name val="Calibri"/>
    </font>
    <font>
      <b/>
      <sz val="14"/>
      <name val="Calibri"/>
    </font>
    <font>
      <b/>
      <sz val="14"/>
      <color theme="0"/>
      <name val="Arial"/>
    </font>
    <font>
      <b/>
      <i/>
      <sz val="14"/>
      <color rgb="FFFF0000"/>
      <name val="Calibri"/>
    </font>
    <font>
      <b/>
      <i/>
      <sz val="12"/>
      <name val="Calibri"/>
    </font>
    <font>
      <i/>
      <sz val="11"/>
      <name val="Calibri"/>
    </font>
    <font>
      <i/>
      <sz val="16"/>
      <name val="Calibri"/>
    </font>
    <font>
      <b/>
      <i/>
      <sz val="16"/>
      <color rgb="FFFFFF00"/>
      <name val="Calibri"/>
    </font>
    <font>
      <b/>
      <i/>
      <sz val="16"/>
      <color theme="0"/>
      <name val="Calibri"/>
    </font>
    <font>
      <b/>
      <sz val="16"/>
      <color theme="0"/>
      <name val="Calibri"/>
    </font>
    <font>
      <b/>
      <sz val="10"/>
      <color theme="1"/>
      <name val="Arial"/>
    </font>
    <font>
      <b/>
      <i/>
      <sz val="11"/>
      <color rgb="FFFF0000"/>
      <name val="Calibri"/>
    </font>
    <font>
      <b/>
      <sz val="11"/>
      <color rgb="FFFFFF00"/>
      <name val="Calibri"/>
    </font>
    <font>
      <b/>
      <sz val="11"/>
      <color rgb="FFFFFF00"/>
      <name val="Wingdings"/>
    </font>
    <font>
      <b/>
      <sz val="14"/>
      <color rgb="FFFFFF00"/>
      <name val="Arial"/>
    </font>
    <font>
      <sz val="8"/>
      <name val="Calibri"/>
    </font>
    <font>
      <sz val="16"/>
      <color theme="0"/>
      <name val="Arial"/>
    </font>
    <font>
      <b/>
      <sz val="16"/>
      <color theme="0"/>
      <name val="Arial"/>
    </font>
    <font>
      <b/>
      <sz val="11"/>
      <color theme="0"/>
      <name val="Wingdings"/>
    </font>
    <font>
      <sz val="15"/>
      <name val="Arial"/>
    </font>
    <font>
      <b/>
      <i/>
      <sz val="14"/>
      <color theme="1"/>
      <name val="Calibri"/>
    </font>
    <font>
      <b/>
      <sz val="16"/>
      <name val="Calibri"/>
    </font>
    <font>
      <i/>
      <sz val="16"/>
      <color theme="0"/>
      <name val="Arial"/>
    </font>
    <font>
      <b/>
      <i/>
      <sz val="18"/>
      <name val="Calibri"/>
    </font>
    <font>
      <i/>
      <sz val="14"/>
      <color theme="0"/>
      <name val="Arial"/>
    </font>
    <font>
      <b/>
      <sz val="12"/>
      <color rgb="FFFF0000"/>
      <name val="Arial"/>
    </font>
    <font>
      <b/>
      <sz val="14"/>
      <color rgb="FFFF0000"/>
      <name val="Arial"/>
    </font>
    <font>
      <b/>
      <sz val="16"/>
      <name val="Arial"/>
    </font>
    <font>
      <b/>
      <i/>
      <sz val="12"/>
      <color theme="0"/>
      <name val="Arial"/>
    </font>
    <font>
      <b/>
      <i/>
      <sz val="16"/>
      <name val="Arial"/>
    </font>
    <font>
      <b/>
      <sz val="16"/>
      <color theme="1"/>
      <name val="Calibri"/>
    </font>
    <font>
      <sz val="10"/>
      <color theme="0"/>
      <name val="Arial"/>
    </font>
    <font>
      <sz val="10"/>
      <color theme="9" tint="0.39997558519241921"/>
      <name val="Arial"/>
    </font>
    <font>
      <i/>
      <sz val="14"/>
      <color theme="0"/>
      <name val="Arial"/>
    </font>
    <font>
      <b/>
      <i/>
      <sz val="16"/>
      <color theme="0"/>
      <name val="Arial"/>
    </font>
    <font>
      <b/>
      <sz val="14"/>
      <color theme="1"/>
      <name val="Arial"/>
    </font>
    <font>
      <b/>
      <i/>
      <sz val="18"/>
      <color theme="1"/>
      <name val="Calibri"/>
    </font>
    <font>
      <b/>
      <i/>
      <sz val="18"/>
      <color theme="0"/>
      <name val="Calibri"/>
    </font>
    <font>
      <b/>
      <i/>
      <sz val="14"/>
      <color theme="0"/>
      <name val="Arial"/>
    </font>
    <font>
      <sz val="12"/>
      <color theme="0"/>
      <name val="Arial"/>
    </font>
    <font>
      <sz val="14"/>
      <color theme="0"/>
      <name val="Arial"/>
    </font>
    <font>
      <i/>
      <sz val="8"/>
      <color theme="0"/>
      <name val="Arial"/>
    </font>
    <font>
      <i/>
      <sz val="11"/>
      <color theme="1"/>
      <name val="Calibri"/>
    </font>
    <font>
      <b/>
      <sz val="16"/>
      <color rgb="FFFF0000"/>
      <name val="Arial"/>
    </font>
    <font>
      <i/>
      <sz val="10"/>
      <name val="Arial"/>
    </font>
    <font>
      <b/>
      <sz val="12"/>
      <color rgb="FFFF0000"/>
      <name val="Calibri"/>
    </font>
    <font>
      <sz val="14"/>
      <color rgb="FFFF0000"/>
      <name val="Arial"/>
    </font>
    <font>
      <sz val="12"/>
      <name val="Calibri"/>
    </font>
    <font>
      <b/>
      <sz val="18"/>
      <color rgb="FFFF0000"/>
      <name val="Arial"/>
    </font>
    <font>
      <sz val="9"/>
      <color theme="0"/>
      <name val="Arial"/>
    </font>
    <font>
      <b/>
      <i/>
      <sz val="9"/>
      <color theme="0"/>
      <name val="Calibri"/>
    </font>
    <font>
      <i/>
      <sz val="9"/>
      <color theme="0"/>
      <name val="Arial"/>
    </font>
    <font>
      <sz val="14"/>
      <name val="Calibri"/>
    </font>
    <font>
      <b/>
      <sz val="14"/>
      <name val="Arial Narrow"/>
    </font>
    <font>
      <b/>
      <sz val="16"/>
      <name val="Arial Narrow"/>
    </font>
    <font>
      <sz val="16"/>
      <color theme="1"/>
      <name val="Arial Narrow"/>
    </font>
    <font>
      <b/>
      <sz val="24"/>
      <name val="Arial Narrow"/>
    </font>
    <font>
      <sz val="24"/>
      <name val="Arial Narrow"/>
    </font>
    <font>
      <b/>
      <sz val="10"/>
      <name val="Arial Narrow"/>
    </font>
    <font>
      <b/>
      <sz val="14"/>
      <color theme="0"/>
      <name val="Arial Narrow"/>
    </font>
    <font>
      <i/>
      <sz val="14"/>
      <name val="Calibri"/>
    </font>
    <font>
      <b/>
      <sz val="20"/>
      <name val="Arial"/>
    </font>
    <font>
      <b/>
      <sz val="14"/>
      <color theme="1"/>
      <name val="Arial Narrow"/>
    </font>
    <font>
      <b/>
      <i/>
      <sz val="14"/>
      <color rgb="FFFF0000"/>
      <name val="Arial Narrow"/>
    </font>
    <font>
      <b/>
      <sz val="16"/>
      <color theme="0"/>
      <name val="Arial Narrow"/>
    </font>
    <font>
      <b/>
      <i/>
      <sz val="16"/>
      <color rgb="FFFF0000"/>
      <name val="Arial Narrow"/>
    </font>
    <font>
      <b/>
      <sz val="18"/>
      <color theme="0"/>
      <name val="Arial"/>
    </font>
    <font>
      <i/>
      <sz val="14"/>
      <color rgb="FFFF0000"/>
      <name val="Calibri"/>
    </font>
    <font>
      <b/>
      <sz val="16"/>
      <color theme="0" tint="-0.49995422223578601"/>
      <name val="Arial"/>
    </font>
    <font>
      <b/>
      <sz val="11"/>
      <name val="Arial"/>
    </font>
    <font>
      <b/>
      <sz val="10"/>
      <color rgb="FFFF0000"/>
      <name val="Arial"/>
    </font>
    <font>
      <b/>
      <i/>
      <sz val="10"/>
      <color theme="1"/>
      <name val="Calibri"/>
    </font>
    <font>
      <b/>
      <sz val="10"/>
      <color theme="1"/>
      <name val="Calibri"/>
    </font>
    <font>
      <b/>
      <sz val="10"/>
      <name val="Calibri"/>
    </font>
    <font>
      <b/>
      <sz val="10"/>
      <color theme="0"/>
      <name val="Calibri"/>
    </font>
    <font>
      <b/>
      <i/>
      <sz val="16"/>
      <color theme="1"/>
      <name val="Calibri"/>
    </font>
    <font>
      <b/>
      <i/>
      <sz val="14"/>
      <color rgb="FFFF0000"/>
      <name val="Arial"/>
    </font>
    <font>
      <b/>
      <sz val="18"/>
      <color theme="0"/>
      <name val="Calibri"/>
    </font>
    <font>
      <b/>
      <sz val="18"/>
      <name val="Arial"/>
    </font>
    <font>
      <b/>
      <sz val="18"/>
      <color theme="1"/>
      <name val="Arial"/>
    </font>
    <font>
      <b/>
      <sz val="9"/>
      <name val="Arial"/>
    </font>
    <font>
      <b/>
      <sz val="12"/>
      <color theme="1"/>
      <name val="Calibri"/>
    </font>
    <font>
      <b/>
      <i/>
      <sz val="16"/>
      <color theme="1"/>
      <name val="Arial"/>
    </font>
    <font>
      <b/>
      <i/>
      <sz val="10"/>
      <name val="Calibri"/>
    </font>
    <font>
      <b/>
      <i/>
      <sz val="9"/>
      <color theme="0"/>
      <name val="Arial"/>
    </font>
    <font>
      <b/>
      <i/>
      <sz val="14"/>
      <color theme="1"/>
      <name val="Arial"/>
    </font>
    <font>
      <b/>
      <i/>
      <sz val="10"/>
      <color theme="1"/>
      <name val="Arial"/>
    </font>
    <font>
      <b/>
      <i/>
      <sz val="11"/>
      <color theme="5" tint="0.79995117038483843"/>
      <name val="Calibri"/>
    </font>
    <font>
      <b/>
      <i/>
      <sz val="11"/>
      <color theme="4" tint="0.79995117038483843"/>
      <name val="Calibri"/>
    </font>
    <font>
      <b/>
      <i/>
      <sz val="12"/>
      <color theme="1"/>
      <name val="Calibri"/>
    </font>
    <font>
      <b/>
      <sz val="11"/>
      <color theme="5" tint="0.79995117038483843"/>
      <name val="Calibri"/>
    </font>
    <font>
      <b/>
      <sz val="11"/>
      <color theme="4" tint="0.79995117038483843"/>
      <name val="Calibri"/>
    </font>
    <font>
      <i/>
      <sz val="14"/>
      <name val="Arial"/>
    </font>
    <font>
      <sz val="10"/>
      <name val="Arial"/>
    </font>
    <font>
      <b/>
      <sz val="11"/>
      <color theme="0"/>
      <name val="Arial"/>
    </font>
    <font>
      <i/>
      <sz val="9"/>
      <color theme="0"/>
      <name val="Calibri"/>
    </font>
    <font>
      <sz val="9"/>
      <color rgb="FFFFFFFF"/>
      <name val="Calibri"/>
    </font>
    <font>
      <sz val="10"/>
      <color theme="1"/>
      <name val="Arial"/>
    </font>
    <font>
      <sz val="12"/>
      <color rgb="FFFF0000"/>
      <name val="Arial"/>
    </font>
    <font>
      <sz val="14"/>
      <color theme="1"/>
      <name val="Arial"/>
    </font>
    <font>
      <b/>
      <i/>
      <sz val="11"/>
      <name val="Arial"/>
    </font>
    <font>
      <sz val="18"/>
      <color theme="0"/>
      <name val="Arial"/>
    </font>
    <font>
      <b/>
      <sz val="10"/>
      <color theme="10"/>
      <name val="Arial"/>
    </font>
    <font>
      <sz val="16"/>
      <name val="Calibri"/>
    </font>
    <font>
      <sz val="18"/>
      <name val="Arial"/>
    </font>
    <font>
      <b/>
      <sz val="16"/>
      <color rgb="FFFF0000"/>
      <name val="Calibri"/>
    </font>
    <font>
      <sz val="16"/>
      <color theme="0"/>
      <name val="Calibri"/>
    </font>
    <font>
      <b/>
      <sz val="8"/>
      <color theme="0"/>
      <name val="Calibri"/>
    </font>
    <font>
      <b/>
      <sz val="16"/>
      <color theme="1"/>
      <name val="Arial"/>
    </font>
    <font>
      <b/>
      <sz val="16"/>
      <color rgb="FFFF3300"/>
      <name val="Calibri"/>
    </font>
    <font>
      <b/>
      <sz val="18"/>
      <name val="Calibri"/>
    </font>
    <font>
      <sz val="10"/>
      <name val="Arial"/>
    </font>
    <font>
      <b/>
      <sz val="14"/>
      <color rgb="FFFF3300"/>
      <name val="Calibri"/>
    </font>
    <font>
      <b/>
      <sz val="9"/>
      <color theme="0"/>
      <name val="Arial"/>
    </font>
    <font>
      <b/>
      <sz val="14"/>
      <color rgb="FF0070C0"/>
      <name val="Arial"/>
    </font>
    <font>
      <b/>
      <sz val="14"/>
      <color theme="9" tint="-0.49995422223578601"/>
      <name val="Arial"/>
    </font>
    <font>
      <i/>
      <sz val="14"/>
      <color theme="1"/>
      <name val="Arial"/>
    </font>
    <font>
      <b/>
      <sz val="14"/>
      <color theme="4" tint="-0.249977111117893"/>
      <name val="Arial"/>
    </font>
    <font>
      <sz val="12"/>
      <color theme="1"/>
      <name val="Times New Roman"/>
    </font>
    <font>
      <sz val="12"/>
      <color theme="1"/>
      <name val="Congenial Black"/>
    </font>
    <font>
      <b/>
      <sz val="8"/>
      <color theme="1"/>
      <name val="Calibri"/>
    </font>
    <font>
      <sz val="8"/>
      <color theme="1"/>
      <name val="Calibri"/>
    </font>
    <font>
      <sz val="12"/>
      <color theme="1"/>
      <name val="Calibri"/>
    </font>
    <font>
      <b/>
      <sz val="15"/>
      <color theme="0"/>
      <name val="Calibri"/>
    </font>
    <font>
      <b/>
      <sz val="12"/>
      <name val="Calibri"/>
    </font>
    <font>
      <b/>
      <sz val="12"/>
      <color theme="1"/>
      <name val="Calibri"/>
    </font>
    <font>
      <b/>
      <sz val="11"/>
      <name val="Calibri"/>
    </font>
    <font>
      <sz val="12"/>
      <color theme="1"/>
      <name val="Calibri"/>
    </font>
    <font>
      <b/>
      <sz val="11"/>
      <color theme="0"/>
      <name val="Calibri"/>
    </font>
    <font>
      <b/>
      <sz val="12"/>
      <color theme="0"/>
      <name val="Calibri"/>
    </font>
    <font>
      <b/>
      <sz val="16"/>
      <color theme="0"/>
      <name val="Calibri"/>
    </font>
    <font>
      <b/>
      <sz val="11"/>
      <color theme="1"/>
      <name val="Calibri"/>
    </font>
    <font>
      <b/>
      <sz val="14"/>
      <color theme="1"/>
      <name val="Calibri"/>
    </font>
    <font>
      <sz val="14"/>
      <color theme="1"/>
      <name val="Calibri"/>
    </font>
    <font>
      <b/>
      <sz val="16"/>
      <name val="Calibri"/>
    </font>
    <font>
      <b/>
      <sz val="14"/>
      <name val="Calibri"/>
    </font>
    <font>
      <b/>
      <sz val="18"/>
      <name val="Calibri"/>
    </font>
    <font>
      <b/>
      <sz val="13"/>
      <name val="Calibri"/>
    </font>
    <font>
      <b/>
      <sz val="14"/>
      <name val="Arial"/>
      <family val="2"/>
    </font>
    <font>
      <b/>
      <i/>
      <sz val="14"/>
      <name val="Arial"/>
      <family val="2"/>
    </font>
    <font>
      <b/>
      <i/>
      <sz val="14"/>
      <color theme="9" tint="-0.249977111117893"/>
      <name val="Arial"/>
      <family val="2"/>
    </font>
    <font>
      <b/>
      <i/>
      <sz val="14"/>
      <color rgb="FFFF0000"/>
      <name val="Arial"/>
      <family val="2"/>
    </font>
    <font>
      <b/>
      <sz val="12"/>
      <name val="Arial"/>
      <family val="2"/>
    </font>
    <font>
      <b/>
      <sz val="10"/>
      <name val="Arial"/>
      <family val="2"/>
    </font>
    <font>
      <b/>
      <sz val="12"/>
      <color rgb="FFFF0000"/>
      <name val="Arial"/>
      <family val="2"/>
    </font>
    <font>
      <sz val="10"/>
      <name val="Calibri"/>
      <family val="2"/>
    </font>
    <font>
      <sz val="10"/>
      <name val="Arial"/>
      <family val="2"/>
    </font>
    <font>
      <b/>
      <sz val="11"/>
      <name val="Calibri"/>
      <family val="2"/>
      <scheme val="minor"/>
    </font>
    <font>
      <b/>
      <sz val="9"/>
      <color theme="0"/>
      <name val="Arial"/>
      <family val="2"/>
    </font>
    <font>
      <b/>
      <sz val="10"/>
      <color theme="0"/>
      <name val="Arial"/>
      <family val="2"/>
    </font>
    <font>
      <b/>
      <sz val="8"/>
      <name val="Arial"/>
      <family val="2"/>
    </font>
    <font>
      <b/>
      <sz val="7"/>
      <name val="Arial"/>
      <family val="2"/>
    </font>
    <font>
      <b/>
      <sz val="8"/>
      <name val="Calibri"/>
      <family val="2"/>
      <scheme val="minor"/>
    </font>
    <font>
      <sz val="8"/>
      <name val="Calibri"/>
      <family val="2"/>
      <scheme val="minor"/>
    </font>
    <font>
      <b/>
      <sz val="12"/>
      <color theme="1"/>
      <name val="Calibri"/>
      <family val="2"/>
      <scheme val="minor"/>
    </font>
    <font>
      <b/>
      <sz val="16"/>
      <color theme="1"/>
      <name val="Arial Narrow"/>
      <family val="2"/>
    </font>
    <font>
      <sz val="16"/>
      <color theme="1"/>
      <name val="Arial Narrow"/>
      <family val="2"/>
    </font>
    <font>
      <b/>
      <sz val="14"/>
      <color rgb="FFFF0000"/>
      <name val="Arial Narrow"/>
      <family val="2"/>
    </font>
    <font>
      <b/>
      <sz val="14"/>
      <name val="Arial Narrow"/>
      <family val="2"/>
    </font>
    <font>
      <b/>
      <i/>
      <sz val="9"/>
      <color theme="4" tint="0.59996337778862885"/>
      <name val="Arial"/>
      <family val="2"/>
    </font>
    <font>
      <b/>
      <i/>
      <sz val="9"/>
      <color theme="0"/>
      <name val="Arial"/>
      <family val="2"/>
    </font>
    <font>
      <b/>
      <i/>
      <sz val="9"/>
      <color theme="5" tint="0.79995117038483843"/>
      <name val="Arial"/>
      <family val="2"/>
    </font>
    <font>
      <i/>
      <sz val="16"/>
      <color rgb="FFFF0000"/>
      <name val="Arial"/>
      <family val="2"/>
    </font>
    <font>
      <b/>
      <sz val="12"/>
      <color theme="0"/>
      <name val="Calibri"/>
      <family val="2"/>
      <scheme val="minor"/>
    </font>
    <font>
      <b/>
      <sz val="12"/>
      <color theme="5" tint="0.59996337778862885"/>
      <name val="Calibri"/>
      <family val="2"/>
      <scheme val="minor"/>
    </font>
    <font>
      <b/>
      <sz val="12"/>
      <color theme="4" tint="0.59996337778862885"/>
      <name val="Calibri"/>
      <family val="2"/>
      <scheme val="minor"/>
    </font>
    <font>
      <b/>
      <i/>
      <sz val="14"/>
      <name val="Calibri"/>
      <family val="2"/>
    </font>
    <font>
      <b/>
      <i/>
      <sz val="14"/>
      <color indexed="13"/>
      <name val="Calibri"/>
      <family val="2"/>
    </font>
    <font>
      <b/>
      <sz val="18"/>
      <name val="Arial"/>
      <family val="2"/>
    </font>
    <font>
      <b/>
      <i/>
      <sz val="18"/>
      <name val="Calibri"/>
      <family val="2"/>
    </font>
    <font>
      <b/>
      <i/>
      <sz val="18"/>
      <color theme="1"/>
      <name val="Calibri"/>
      <family val="2"/>
    </font>
    <font>
      <b/>
      <sz val="18"/>
      <color theme="0"/>
      <name val="Arial"/>
      <family val="2"/>
    </font>
    <font>
      <sz val="12"/>
      <color theme="1"/>
      <name val="Calibri"/>
      <family val="2"/>
    </font>
    <font>
      <sz val="12"/>
      <name val="Calibri"/>
      <family val="2"/>
    </font>
    <font>
      <b/>
      <sz val="10"/>
      <color theme="1"/>
      <name val="Arial"/>
      <family val="2"/>
    </font>
    <font>
      <sz val="12"/>
      <name val="Arial"/>
      <family val="2"/>
    </font>
    <font>
      <b/>
      <sz val="10"/>
      <color theme="10"/>
      <name val="Arial"/>
      <family val="2"/>
    </font>
    <font>
      <b/>
      <sz val="12"/>
      <color theme="0"/>
      <name val="Arial"/>
      <family val="2"/>
    </font>
    <font>
      <sz val="14"/>
      <name val="Arial"/>
      <family val="2"/>
    </font>
    <font>
      <sz val="15"/>
      <color theme="0"/>
      <name val="Arial"/>
      <family val="2"/>
    </font>
    <font>
      <sz val="16"/>
      <name val="Arial"/>
      <family val="2"/>
    </font>
    <font>
      <b/>
      <i/>
      <sz val="10"/>
      <name val="Arial"/>
      <family val="2"/>
    </font>
    <font>
      <b/>
      <i/>
      <sz val="11"/>
      <name val="Arial"/>
      <family val="2"/>
    </font>
    <font>
      <b/>
      <sz val="11"/>
      <color theme="0"/>
      <name val="Arial"/>
      <family val="2"/>
    </font>
    <font>
      <b/>
      <sz val="11"/>
      <name val="Arial"/>
      <family val="2"/>
    </font>
    <font>
      <sz val="8"/>
      <color theme="0"/>
      <name val="Arial"/>
      <family val="2"/>
    </font>
    <font>
      <b/>
      <sz val="14"/>
      <color theme="0"/>
      <name val="Arial"/>
      <family val="2"/>
    </font>
    <font>
      <sz val="11"/>
      <name val="Arial"/>
      <family val="2"/>
    </font>
    <font>
      <sz val="18"/>
      <color theme="0"/>
      <name val="Arial"/>
      <family val="2"/>
    </font>
    <font>
      <b/>
      <i/>
      <sz val="14"/>
      <name val="Calibri"/>
      <family val="2"/>
      <scheme val="minor"/>
    </font>
    <font>
      <b/>
      <sz val="14"/>
      <color theme="1"/>
      <name val="Calibri"/>
      <family val="2"/>
    </font>
    <font>
      <b/>
      <sz val="12"/>
      <color theme="1"/>
      <name val="Calibri"/>
      <family val="2"/>
    </font>
    <font>
      <b/>
      <sz val="11"/>
      <name val="Calibri"/>
      <family val="2"/>
    </font>
    <font>
      <sz val="9"/>
      <color indexed="81"/>
      <name val="Tahoma"/>
      <family val="2"/>
    </font>
    <font>
      <b/>
      <sz val="9"/>
      <color indexed="81"/>
      <name val="Tahoma"/>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50"/>
      </patternFill>
    </fill>
    <fill>
      <patternFill patternType="solid">
        <fgColor rgb="FFFFFF00"/>
      </patternFill>
    </fill>
    <fill>
      <patternFill patternType="solid">
        <fgColor rgb="FFFF0000"/>
      </patternFill>
    </fill>
    <fill>
      <patternFill patternType="solid">
        <fgColor theme="5" tint="0.59996337778862885"/>
        <bgColor indexed="65"/>
      </patternFill>
    </fill>
    <fill>
      <patternFill patternType="solid">
        <fgColor theme="4" tint="0.59996337778862885"/>
        <bgColor indexed="65"/>
      </patternFill>
    </fill>
    <fill>
      <patternFill patternType="solid">
        <fgColor theme="4" tint="-0.49995422223578601"/>
        <bgColor indexed="65"/>
      </patternFill>
    </fill>
    <fill>
      <patternFill patternType="solid">
        <fgColor theme="3" tint="0.39997558519241921"/>
        <bgColor indexed="65"/>
      </patternFill>
    </fill>
    <fill>
      <patternFill patternType="solid">
        <fgColor theme="0"/>
      </patternFill>
    </fill>
    <fill>
      <patternFill patternType="solid">
        <fgColor indexed="47"/>
      </patternFill>
    </fill>
    <fill>
      <patternFill patternType="solid">
        <fgColor indexed="51"/>
      </patternFill>
    </fill>
    <fill>
      <patternFill patternType="solid">
        <fgColor indexed="5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9" tint="0.79995117038483843"/>
        <bgColor indexed="65"/>
      </patternFill>
    </fill>
    <fill>
      <patternFill patternType="solid">
        <fgColor rgb="FFC00000"/>
      </patternFill>
    </fill>
    <fill>
      <patternFill patternType="solid">
        <fgColor theme="1"/>
      </patternFill>
    </fill>
    <fill>
      <patternFill patternType="solid">
        <fgColor theme="4" tint="0.79995117038483843"/>
        <bgColor indexed="65"/>
      </patternFill>
    </fill>
    <fill>
      <patternFill patternType="solid">
        <fgColor rgb="FFFF3300"/>
      </patternFill>
    </fill>
    <fill>
      <patternFill patternType="solid">
        <fgColor rgb="FFFFC000"/>
      </patternFill>
    </fill>
    <fill>
      <patternFill patternType="solid">
        <fgColor theme="0" tint="-0.14999847407452621"/>
        <bgColor indexed="65"/>
      </patternFill>
    </fill>
    <fill>
      <patternFill patternType="solid">
        <fgColor theme="3" tint="0.59996337778862885"/>
        <bgColor indexed="65"/>
      </patternFill>
    </fill>
    <fill>
      <patternFill patternType="solid">
        <fgColor theme="0" tint="-0.249977111117893"/>
        <bgColor indexed="65"/>
      </patternFill>
    </fill>
    <fill>
      <patternFill patternType="solid">
        <fgColor theme="0" tint="-0.34998626667073579"/>
        <bgColor indexed="65"/>
      </patternFill>
    </fill>
    <fill>
      <patternFill patternType="solid">
        <fgColor theme="5" tint="0.79995117038483843"/>
        <bgColor indexed="65"/>
      </patternFill>
    </fill>
    <fill>
      <patternFill patternType="solid">
        <fgColor theme="1"/>
      </patternFill>
    </fill>
    <fill>
      <patternFill patternType="solid">
        <fgColor theme="5" tint="-0.249977111117893"/>
        <bgColor indexed="65"/>
      </patternFill>
    </fill>
    <fill>
      <patternFill patternType="solid">
        <fgColor theme="3" tint="-0.49995422223578601"/>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5"/>
      </patternFill>
    </fill>
    <fill>
      <patternFill patternType="solid">
        <fgColor rgb="FF0070C0"/>
      </patternFill>
    </fill>
    <fill>
      <patternFill patternType="solid">
        <fgColor rgb="FFFFFFCC"/>
      </patternFill>
    </fill>
    <fill>
      <patternFill patternType="solid">
        <fgColor rgb="FFF9F6B1"/>
      </patternFill>
    </fill>
    <fill>
      <patternFill patternType="solid">
        <fgColor theme="2" tint="-9.9978637043366805E-2"/>
        <bgColor indexed="65"/>
      </patternFill>
    </fill>
    <fill>
      <patternFill patternType="solid">
        <fgColor theme="7" tint="0.79995117038483843"/>
        <bgColor indexed="65"/>
      </patternFill>
    </fill>
    <fill>
      <patternFill patternType="solid">
        <fgColor rgb="FFFFF0C5"/>
      </patternFill>
    </fill>
    <fill>
      <patternFill patternType="solid">
        <fgColor rgb="FFFFFAEB"/>
      </patternFill>
    </fill>
    <fill>
      <patternFill patternType="solid">
        <fgColor theme="1" tint="4.9989318521683403E-2"/>
        <bgColor indexed="65"/>
      </patternFill>
    </fill>
    <fill>
      <patternFill patternType="solid">
        <fgColor theme="4" tint="-0.249977111117893"/>
        <bgColor indexed="65"/>
      </patternFill>
    </fill>
    <fill>
      <patternFill patternType="solid">
        <fgColor rgb="FFFBD8C5"/>
      </patternFill>
    </fill>
    <fill>
      <patternFill patternType="solid">
        <fgColor rgb="FFFFF2CD"/>
      </patternFill>
    </fill>
    <fill>
      <patternFill patternType="solid">
        <fgColor theme="9" tint="-0.249977111117893"/>
        <bgColor indexed="65"/>
      </patternFill>
    </fill>
    <fill>
      <patternFill patternType="solid">
        <fgColor theme="2"/>
      </patternFill>
    </fill>
    <fill>
      <patternFill patternType="solid">
        <fgColor theme="4"/>
      </patternFill>
    </fill>
    <fill>
      <patternFill patternType="solid">
        <fgColor theme="8" tint="-0.249977111117893"/>
        <bgColor indexed="65"/>
      </patternFill>
    </fill>
    <fill>
      <patternFill patternType="solid">
        <fgColor theme="1" tint="0.14999847407452621"/>
        <bgColor indexed="65"/>
      </patternFill>
    </fill>
    <fill>
      <patternFill patternType="solid">
        <fgColor theme="3" tint="0.79985961485641044"/>
        <bgColor indexed="65"/>
      </patternFill>
    </fill>
    <fill>
      <patternFill patternType="solid">
        <fgColor theme="0" tint="-4.9989318521683403E-2"/>
        <bgColor indexed="65"/>
      </patternFill>
    </fill>
    <fill>
      <patternFill patternType="solid">
        <fgColor theme="0" tint="-0.14999847407452621"/>
        <bgColor indexed="65"/>
      </patternFill>
    </fill>
    <fill>
      <patternFill patternType="solid">
        <fgColor rgb="FFFF0000"/>
      </patternFill>
    </fill>
    <fill>
      <patternFill patternType="solid">
        <fgColor rgb="FFFFFF00"/>
      </patternFill>
    </fill>
    <fill>
      <patternFill patternType="solid">
        <fgColor theme="6" tint="0.59984130375072486"/>
        <bgColor indexed="65"/>
      </patternFill>
    </fill>
    <fill>
      <patternFill patternType="solid">
        <fgColor rgb="FFF6F8FC"/>
      </patternFill>
    </fill>
    <fill>
      <patternFill patternType="solid">
        <fgColor rgb="FFEDF2FB"/>
      </patternFill>
    </fill>
    <fill>
      <patternFill patternType="solid">
        <fgColor theme="6" tint="0.79985961485641044"/>
        <bgColor indexed="65"/>
      </patternFill>
    </fill>
    <fill>
      <patternFill patternType="solid">
        <fgColor theme="2" tint="-9.9978637043366805E-2"/>
        <bgColor indexed="64"/>
      </patternFill>
    </fill>
    <fill>
      <patternFill patternType="solid">
        <fgColor rgb="FFFFC000"/>
        <bgColor indexed="64"/>
      </patternFill>
    </fill>
    <fill>
      <patternFill patternType="solid">
        <fgColor theme="1"/>
        <bgColor indexed="64"/>
      </patternFill>
    </fill>
    <fill>
      <patternFill patternType="solid">
        <fgColor theme="0"/>
        <bgColor indexed="64"/>
      </patternFill>
    </fill>
    <fill>
      <patternFill patternType="solid">
        <fgColor theme="4" tint="0.59999389629810485"/>
        <bgColor indexed="64"/>
      </patternFill>
    </fill>
    <fill>
      <patternFill patternType="solid">
        <fgColor rgb="FFFBD8C5"/>
        <bgColor indexed="64"/>
      </patternFill>
    </fill>
    <fill>
      <patternFill patternType="solid">
        <fgColor rgb="FFFFFAEB"/>
        <bgColor indexed="64"/>
      </patternFill>
    </fill>
    <fill>
      <patternFill patternType="solid">
        <fgColor rgb="FFFF0000"/>
        <bgColor indexed="64"/>
      </patternFill>
    </fill>
    <fill>
      <patternFill patternType="solid">
        <fgColor theme="9" tint="0.59999389629810485"/>
        <bgColor indexed="64"/>
      </patternFill>
    </fill>
    <fill>
      <patternFill patternType="solid">
        <fgColor theme="1" tint="4.9989318521683403E-2"/>
        <bgColor indexed="64"/>
      </patternFill>
    </fill>
    <fill>
      <patternFill patternType="solid">
        <fgColor theme="5" tint="0.59999389629810485"/>
        <bgColor indexed="64"/>
      </patternFill>
    </fill>
    <fill>
      <patternFill patternType="solid">
        <fgColor theme="4" tint="0.39997558519241921"/>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style="thin">
        <color indexed="51"/>
      </left>
      <right style="thin">
        <color indexed="51"/>
      </right>
      <top style="thin">
        <color indexed="51"/>
      </top>
      <bottom style="thin">
        <color indexed="51"/>
      </bottom>
      <diagonal/>
    </border>
    <border>
      <left/>
      <right style="hair">
        <color indexed="64"/>
      </right>
      <top style="hair">
        <color indexed="64"/>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auto="1"/>
      </left>
      <right/>
      <top/>
      <bottom/>
      <diagonal/>
    </border>
    <border>
      <left/>
      <right/>
      <top/>
      <bottom style="medium">
        <color auto="1"/>
      </bottom>
      <diagonal/>
    </border>
    <border>
      <left/>
      <right style="medium">
        <color auto="1"/>
      </right>
      <top/>
      <bottom/>
      <diagonal/>
    </border>
    <border>
      <left style="thick">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auto="1"/>
      </right>
      <top style="medium">
        <color auto="1"/>
      </top>
      <bottom/>
      <diagonal/>
    </border>
    <border>
      <left/>
      <right/>
      <top/>
      <bottom style="medium">
        <color indexed="64"/>
      </bottom>
      <diagonal/>
    </border>
    <border>
      <left/>
      <right/>
      <top/>
      <bottom style="thin">
        <color indexed="64"/>
      </bottom>
      <diagonal/>
    </border>
    <border>
      <left style="thin">
        <color auto="1"/>
      </left>
      <right/>
      <top/>
      <bottom/>
      <diagonal/>
    </border>
    <border>
      <left style="medium">
        <color auto="1"/>
      </left>
      <right style="medium">
        <color auto="1"/>
      </right>
      <top/>
      <bottom/>
      <diagonal/>
    </border>
    <border>
      <left/>
      <right/>
      <top/>
      <bottom style="medium">
        <color indexed="30"/>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style="medium">
        <color auto="1"/>
      </right>
      <top/>
      <bottom style="medium">
        <color auto="1"/>
      </bottom>
      <diagonal/>
    </border>
    <border>
      <left/>
      <right/>
      <top/>
      <bottom style="medium">
        <color indexed="64"/>
      </bottom>
      <diagonal/>
    </border>
    <border>
      <left/>
      <right/>
      <top/>
      <bottom style="thin">
        <color theme="0"/>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auto="1"/>
      </left>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auto="1"/>
      </right>
      <top/>
      <bottom style="thin">
        <color indexed="64"/>
      </bottom>
      <diagonal/>
    </border>
    <border>
      <left style="medium">
        <color indexed="64"/>
      </left>
      <right/>
      <top/>
      <bottom style="medium">
        <color indexed="64"/>
      </bottom>
      <diagonal/>
    </border>
    <border>
      <left/>
      <right style="medium">
        <color auto="1"/>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style="thin">
        <color indexed="64"/>
      </bottom>
      <diagonal/>
    </border>
    <border>
      <left style="medium">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theme="0"/>
      </right>
      <top/>
      <bottom style="thin">
        <color indexed="64"/>
      </bottom>
      <diagonal/>
    </border>
    <border>
      <left/>
      <right style="thin">
        <color theme="0"/>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right style="medium">
        <color rgb="FFDDDDDD"/>
      </right>
      <top/>
      <bottom style="medium">
        <color rgb="FFDDDDDD"/>
      </bottom>
      <diagonal/>
    </border>
    <border>
      <left/>
      <right style="hair">
        <color indexed="64"/>
      </right>
      <top style="hair">
        <color indexed="64"/>
      </top>
      <bottom/>
      <diagonal/>
    </border>
    <border>
      <left style="hair">
        <color indexed="64"/>
      </left>
      <right/>
      <top/>
      <bottom/>
      <diagonal/>
    </border>
    <border>
      <left style="thin">
        <color rgb="FFAAAAAA"/>
      </left>
      <right style="thin">
        <color rgb="FFAAAAAA"/>
      </right>
      <top style="thin">
        <color rgb="FFAAAAAA"/>
      </top>
      <bottom/>
      <diagonal/>
    </border>
    <border>
      <left/>
      <right/>
      <top style="thin">
        <color rgb="FFAAAAAA"/>
      </top>
      <bottom/>
      <diagonal/>
    </border>
    <border>
      <left/>
      <right style="thin">
        <color rgb="FFAAAAAA"/>
      </right>
      <top style="thin">
        <color rgb="FFAAAAAA"/>
      </top>
      <bottom/>
      <diagonal/>
    </border>
    <border>
      <left style="thin">
        <color rgb="FFAAAAAA"/>
      </left>
      <right style="thin">
        <color rgb="FFAAAAAA"/>
      </right>
      <top style="thin">
        <color rgb="FFAAAAAA"/>
      </top>
      <bottom style="thin">
        <color rgb="FFAAAAAA"/>
      </bottom>
      <diagonal/>
    </border>
    <border>
      <left/>
      <right/>
      <top style="thin">
        <color rgb="FFAAAAAA"/>
      </top>
      <bottom style="thin">
        <color rgb="FFAAAAAA"/>
      </bottom>
      <diagonal/>
    </border>
    <border>
      <left/>
      <right style="thin">
        <color rgb="FFAAAAAA"/>
      </right>
      <top style="thin">
        <color rgb="FFAAAAAA"/>
      </top>
      <bottom style="thin">
        <color rgb="FFAAAAAA"/>
      </bottom>
      <diagonal/>
    </border>
    <border>
      <left style="thin">
        <color rgb="FFAAAAAA"/>
      </left>
      <right/>
      <top/>
      <bottom/>
      <diagonal/>
    </border>
    <border>
      <left/>
      <right/>
      <top/>
      <bottom style="thin">
        <color rgb="FFAAAAAA"/>
      </bottom>
      <diagonal/>
    </border>
    <border>
      <left/>
      <right style="thin">
        <color rgb="FFAAAAAA"/>
      </right>
      <top/>
      <bottom/>
      <diagonal/>
    </border>
    <border>
      <left style="thin">
        <color rgb="FFAAAAAA"/>
      </left>
      <right/>
      <top style="thin">
        <color rgb="FFAAAAAA"/>
      </top>
      <bottom/>
      <diagonal/>
    </border>
    <border>
      <left style="thin">
        <color rgb="FFAAAAAA"/>
      </left>
      <right/>
      <top style="thin">
        <color indexed="64"/>
      </top>
      <bottom/>
      <diagonal/>
    </border>
    <border>
      <left/>
      <right style="thin">
        <color rgb="FFAAAAAA"/>
      </right>
      <top style="thin">
        <color rgb="FFAAAAAA"/>
      </top>
      <bottom style="thin">
        <color indexed="64"/>
      </bottom>
      <diagonal/>
    </border>
    <border>
      <left style="thin">
        <color rgb="FFAAAAAA"/>
      </left>
      <right/>
      <top style="thin">
        <color indexed="64"/>
      </top>
      <bottom style="thin">
        <color indexed="64"/>
      </bottom>
      <diagonal/>
    </border>
    <border>
      <left style="thin">
        <color rgb="FFAAAAAA"/>
      </left>
      <right/>
      <top style="thin">
        <color rgb="FFAAAAAA"/>
      </top>
      <bottom style="thin">
        <color rgb="FFAAAAAA"/>
      </bottom>
      <diagonal/>
    </border>
    <border>
      <left style="thin">
        <color rgb="FFAAAAAA"/>
      </left>
      <right/>
      <top/>
      <bottom style="thin">
        <color rgb="FFAAAAAA"/>
      </bottom>
      <diagonal/>
    </border>
    <border>
      <left/>
      <right style="thin">
        <color rgb="FFAAAAAA"/>
      </right>
      <top/>
      <bottom style="thin">
        <color rgb="FFAAAAAA"/>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5">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44" fontId="1" fillId="0" borderId="0" applyFont="0" applyFill="0" applyBorder="0" applyAlignment="0" applyProtection="0"/>
    <xf numFmtId="44" fontId="3"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3" fillId="0" borderId="0"/>
    <xf numFmtId="0" fontId="1" fillId="23" borderId="7" applyNumberFormat="0" applyFont="0" applyAlignment="0" applyProtection="0"/>
    <xf numFmtId="0" fontId="22" fillId="20" borderId="8"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0" fontId="40" fillId="0" borderId="0"/>
    <xf numFmtId="0" fontId="1" fillId="0" borderId="0"/>
    <xf numFmtId="44" fontId="1" fillId="0" borderId="0" applyFont="0" applyFill="0" applyBorder="0" applyAlignment="0" applyProtection="0"/>
    <xf numFmtId="0" fontId="18" fillId="0" borderId="45" applyNumberFormat="0" applyFill="0" applyAlignment="0" applyProtection="0"/>
    <xf numFmtId="0" fontId="1" fillId="0" borderId="0"/>
    <xf numFmtId="9" fontId="1" fillId="0" borderId="0" applyFont="0" applyFill="0" applyBorder="0" applyAlignment="0" applyProtection="0"/>
    <xf numFmtId="43" fontId="195" fillId="0" borderId="0" applyFont="0" applyFill="0" applyBorder="0" applyAlignment="0" applyProtection="0"/>
  </cellStyleXfs>
  <cellXfs count="2348">
    <xf numFmtId="0" fontId="0" fillId="0" borderId="0" xfId="0"/>
    <xf numFmtId="164" fontId="0" fillId="0" borderId="0" xfId="0" applyNumberFormat="1"/>
    <xf numFmtId="0" fontId="6" fillId="0" borderId="0" xfId="0" applyFont="1"/>
    <xf numFmtId="44" fontId="0" fillId="0" borderId="0" xfId="28" applyFont="1"/>
    <xf numFmtId="14" fontId="0" fillId="0" borderId="0" xfId="0" applyNumberFormat="1"/>
    <xf numFmtId="14" fontId="6" fillId="0" borderId="0" xfId="0" applyNumberFormat="1" applyFont="1"/>
    <xf numFmtId="44" fontId="0" fillId="0" borderId="0" xfId="0" applyNumberFormat="1"/>
    <xf numFmtId="0" fontId="2" fillId="24" borderId="10" xfId="0" applyFont="1" applyFill="1" applyBorder="1"/>
    <xf numFmtId="0" fontId="2" fillId="24" borderId="11" xfId="0" applyFont="1" applyFill="1" applyBorder="1"/>
    <xf numFmtId="0" fontId="27" fillId="24" borderId="11" xfId="0" applyFont="1" applyFill="1" applyBorder="1"/>
    <xf numFmtId="49" fontId="27" fillId="24" borderId="11" xfId="0" applyNumberFormat="1" applyFont="1" applyFill="1" applyBorder="1" applyAlignment="1">
      <alignment horizontal="center"/>
    </xf>
    <xf numFmtId="0" fontId="27" fillId="24" borderId="11" xfId="0" applyFont="1" applyFill="1" applyBorder="1" applyAlignment="1">
      <alignment horizontal="center"/>
    </xf>
    <xf numFmtId="14" fontId="27" fillId="24" borderId="11" xfId="0" applyNumberFormat="1" applyFont="1" applyFill="1" applyBorder="1" applyAlignment="1">
      <alignment horizontal="center"/>
    </xf>
    <xf numFmtId="164" fontId="27" fillId="24" borderId="11" xfId="0" applyNumberFormat="1" applyFont="1" applyFill="1" applyBorder="1" applyAlignment="1">
      <alignment horizontal="center"/>
    </xf>
    <xf numFmtId="164" fontId="27" fillId="24" borderId="12" xfId="0" applyNumberFormat="1" applyFont="1" applyFill="1" applyBorder="1" applyAlignment="1">
      <alignment horizontal="center"/>
    </xf>
    <xf numFmtId="0" fontId="27" fillId="0" borderId="0" xfId="0" applyFont="1"/>
    <xf numFmtId="0" fontId="2" fillId="0" borderId="0" xfId="0" applyFont="1"/>
    <xf numFmtId="49" fontId="27" fillId="0" borderId="0" xfId="0" applyNumberFormat="1" applyFont="1" applyAlignment="1">
      <alignment horizontal="center"/>
    </xf>
    <xf numFmtId="14" fontId="27" fillId="0" borderId="0" xfId="0" applyNumberFormat="1" applyFont="1"/>
    <xf numFmtId="0" fontId="28" fillId="0" borderId="0" xfId="0" applyFont="1"/>
    <xf numFmtId="164" fontId="27" fillId="24" borderId="11" xfId="0" applyNumberFormat="1" applyFont="1" applyFill="1" applyBorder="1"/>
    <xf numFmtId="0" fontId="27" fillId="24" borderId="13" xfId="0" applyFont="1" applyFill="1" applyBorder="1"/>
    <xf numFmtId="0" fontId="27" fillId="24" borderId="14" xfId="0" applyFont="1" applyFill="1" applyBorder="1"/>
    <xf numFmtId="14" fontId="27" fillId="24" borderId="14" xfId="0" applyNumberFormat="1" applyFont="1" applyFill="1" applyBorder="1"/>
    <xf numFmtId="0" fontId="2" fillId="24" borderId="10" xfId="0" applyFont="1" applyFill="1" applyBorder="1" applyAlignment="1">
      <alignment horizontal="left"/>
    </xf>
    <xf numFmtId="9" fontId="27" fillId="24" borderId="11" xfId="0" applyNumberFormat="1" applyFont="1" applyFill="1" applyBorder="1" applyAlignment="1">
      <alignment horizontal="center"/>
    </xf>
    <xf numFmtId="0" fontId="27" fillId="24" borderId="11" xfId="0" applyFont="1" applyFill="1" applyBorder="1" applyAlignment="1">
      <alignment horizontal="center" wrapText="1"/>
    </xf>
    <xf numFmtId="0" fontId="27" fillId="24" borderId="12" xfId="0" applyFont="1" applyFill="1" applyBorder="1" applyAlignment="1">
      <alignment horizontal="center"/>
    </xf>
    <xf numFmtId="0" fontId="6" fillId="0" borderId="0" xfId="0" applyFont="1" applyAlignment="1">
      <alignment horizontal="center"/>
    </xf>
    <xf numFmtId="0" fontId="6" fillId="24" borderId="11" xfId="0" applyFont="1" applyFill="1" applyBorder="1" applyAlignment="1">
      <alignment horizontal="center"/>
    </xf>
    <xf numFmtId="164" fontId="6" fillId="24" borderId="11" xfId="0" applyNumberFormat="1" applyFont="1" applyFill="1" applyBorder="1" applyAlignment="1">
      <alignment horizontal="center"/>
    </xf>
    <xf numFmtId="0" fontId="5" fillId="0" borderId="0" xfId="0" applyFont="1"/>
    <xf numFmtId="49" fontId="6" fillId="0" borderId="0" xfId="0" applyNumberFormat="1" applyFont="1" applyAlignment="1">
      <alignment horizontal="center"/>
    </xf>
    <xf numFmtId="0" fontId="0" fillId="25" borderId="0" xfId="0" applyFill="1"/>
    <xf numFmtId="0" fontId="0" fillId="26" borderId="0" xfId="0" applyFill="1"/>
    <xf numFmtId="0" fontId="0" fillId="27" borderId="0" xfId="0" applyFill="1"/>
    <xf numFmtId="0" fontId="4" fillId="0" borderId="16" xfId="0" applyFont="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3" fillId="27" borderId="0" xfId="0" applyFont="1" applyFill="1"/>
    <xf numFmtId="0" fontId="3" fillId="26" borderId="0" xfId="0" applyFont="1" applyFill="1"/>
    <xf numFmtId="0" fontId="3" fillId="25" borderId="0" xfId="0" applyFont="1" applyFill="1"/>
    <xf numFmtId="44" fontId="4" fillId="0" borderId="18" xfId="28" applyFont="1" applyBorder="1"/>
    <xf numFmtId="44" fontId="4" fillId="0" borderId="20" xfId="28" applyFont="1" applyBorder="1"/>
    <xf numFmtId="44" fontId="4" fillId="0" borderId="22" xfId="28" applyFont="1" applyBorder="1"/>
    <xf numFmtId="9" fontId="26" fillId="0" borderId="0" xfId="47" applyFont="1" applyAlignment="1">
      <alignment horizontal="center"/>
    </xf>
    <xf numFmtId="9" fontId="27" fillId="24" borderId="11" xfId="47" applyFont="1" applyFill="1" applyBorder="1" applyAlignment="1">
      <alignment horizontal="center"/>
    </xf>
    <xf numFmtId="44" fontId="27" fillId="0" borderId="0" xfId="28" applyFont="1"/>
    <xf numFmtId="9" fontId="27" fillId="0" borderId="0" xfId="47" applyFont="1" applyAlignment="1">
      <alignment horizontal="center"/>
    </xf>
    <xf numFmtId="6" fontId="27" fillId="0" borderId="0" xfId="28" applyNumberFormat="1" applyFont="1"/>
    <xf numFmtId="0" fontId="2" fillId="0" borderId="0" xfId="0" applyFont="1" applyAlignment="1">
      <alignment horizontal="left"/>
    </xf>
    <xf numFmtId="44" fontId="27" fillId="24" borderId="11" xfId="28" applyFont="1" applyFill="1" applyBorder="1"/>
    <xf numFmtId="44" fontId="27" fillId="24" borderId="12" xfId="28" applyFont="1" applyFill="1" applyBorder="1"/>
    <xf numFmtId="44" fontId="2" fillId="0" borderId="0" xfId="28" applyFont="1" applyAlignment="1">
      <alignment horizontal="center"/>
    </xf>
    <xf numFmtId="9" fontId="2" fillId="0" borderId="0" xfId="47" applyFont="1" applyAlignment="1">
      <alignment horizontal="center"/>
    </xf>
    <xf numFmtId="44" fontId="2" fillId="0" borderId="0" xfId="28" applyFont="1" applyAlignment="1">
      <alignment horizontal="right"/>
    </xf>
    <xf numFmtId="44" fontId="2" fillId="0" borderId="0" xfId="28" applyFont="1"/>
    <xf numFmtId="44" fontId="27" fillId="24" borderId="11" xfId="28" applyFont="1" applyFill="1" applyBorder="1" applyAlignment="1">
      <alignment horizontal="center"/>
    </xf>
    <xf numFmtId="44" fontId="27" fillId="24" borderId="12" xfId="28" applyFont="1" applyFill="1" applyBorder="1" applyAlignment="1">
      <alignment horizontal="center"/>
    </xf>
    <xf numFmtId="44" fontId="6" fillId="0" borderId="0" xfId="28" applyFont="1"/>
    <xf numFmtId="44" fontId="6" fillId="0" borderId="0" xfId="28" applyFont="1" applyAlignment="1">
      <alignment horizontal="center"/>
    </xf>
    <xf numFmtId="44" fontId="6" fillId="0" borderId="0" xfId="28" applyFont="1" applyAlignment="1">
      <alignment horizontal="right"/>
    </xf>
    <xf numFmtId="14" fontId="27" fillId="24" borderId="11" xfId="28" applyNumberFormat="1" applyFont="1" applyFill="1" applyBorder="1" applyAlignment="1">
      <alignment horizontal="center"/>
    </xf>
    <xf numFmtId="44" fontId="27" fillId="24" borderId="14" xfId="28" applyFont="1" applyFill="1" applyBorder="1"/>
    <xf numFmtId="9" fontId="27" fillId="24" borderId="14" xfId="47" applyFont="1" applyFill="1" applyBorder="1" applyAlignment="1">
      <alignment horizontal="center"/>
    </xf>
    <xf numFmtId="44" fontId="27" fillId="24" borderId="15" xfId="28" applyFont="1" applyFill="1" applyBorder="1"/>
    <xf numFmtId="6" fontId="0" fillId="0" borderId="0" xfId="28" applyNumberFormat="1" applyFont="1"/>
    <xf numFmtId="0" fontId="0" fillId="0" borderId="0" xfId="0" applyAlignment="1">
      <alignment vertical="top"/>
    </xf>
    <xf numFmtId="0" fontId="4" fillId="0" borderId="0" xfId="0" applyFont="1"/>
    <xf numFmtId="0" fontId="4" fillId="0" borderId="0" xfId="0" applyFont="1" applyAlignment="1">
      <alignment horizontal="center"/>
    </xf>
    <xf numFmtId="0" fontId="8" fillId="0" borderId="0" xfId="0" applyFont="1" applyAlignment="1">
      <alignment wrapText="1"/>
    </xf>
    <xf numFmtId="44" fontId="4" fillId="0" borderId="0" xfId="28" applyFont="1" applyAlignment="1">
      <alignment horizontal="center"/>
    </xf>
    <xf numFmtId="0" fontId="4" fillId="0" borderId="0" xfId="0" applyFont="1" applyAlignment="1">
      <alignment wrapText="1"/>
    </xf>
    <xf numFmtId="0" fontId="0" fillId="30" borderId="0" xfId="0" applyFill="1"/>
    <xf numFmtId="0" fontId="38" fillId="31" borderId="0" xfId="0" applyFont="1" applyFill="1" applyAlignment="1">
      <alignment vertical="center"/>
    </xf>
    <xf numFmtId="0" fontId="39" fillId="31" borderId="0" xfId="0" applyFont="1" applyFill="1" applyAlignment="1">
      <alignment vertical="center"/>
    </xf>
    <xf numFmtId="0" fontId="39" fillId="32" borderId="0" xfId="0" applyFont="1" applyFill="1" applyAlignment="1">
      <alignment vertical="center"/>
    </xf>
    <xf numFmtId="0" fontId="39" fillId="0" borderId="0" xfId="0" applyFont="1" applyAlignment="1">
      <alignment vertical="center"/>
    </xf>
    <xf numFmtId="0" fontId="0" fillId="31" borderId="0" xfId="0" applyFill="1"/>
    <xf numFmtId="0" fontId="1" fillId="31" borderId="0" xfId="0" applyFont="1" applyFill="1"/>
    <xf numFmtId="0" fontId="7" fillId="0" borderId="0" xfId="48" applyFont="1" applyAlignment="1">
      <alignment horizontal="right"/>
    </xf>
    <xf numFmtId="0" fontId="41" fillId="31" borderId="0" xfId="46" applyFont="1" applyFill="1" applyAlignment="1">
      <alignment horizontal="left"/>
    </xf>
    <xf numFmtId="0" fontId="42" fillId="31" borderId="0" xfId="0" applyFont="1" applyFill="1" applyAlignment="1">
      <alignment horizontal="left" vertical="center"/>
    </xf>
    <xf numFmtId="0" fontId="41" fillId="33" borderId="0" xfId="46" applyFont="1" applyFill="1"/>
    <xf numFmtId="0" fontId="1" fillId="33" borderId="0" xfId="0" applyFont="1" applyFill="1" applyAlignment="1">
      <alignment vertical="center"/>
    </xf>
    <xf numFmtId="0" fontId="43" fillId="33" borderId="0" xfId="0" applyFont="1" applyFill="1" applyAlignment="1">
      <alignment horizontal="right" vertical="center"/>
    </xf>
    <xf numFmtId="38" fontId="6" fillId="0" borderId="24" xfId="28" applyNumberFormat="1" applyFont="1" applyBorder="1" applyAlignment="1">
      <alignment horizontal="right" vertical="center"/>
    </xf>
    <xf numFmtId="0" fontId="1" fillId="0" borderId="0" xfId="0" applyFont="1"/>
    <xf numFmtId="0" fontId="1" fillId="33" borderId="0" xfId="0" applyFont="1" applyFill="1"/>
    <xf numFmtId="14" fontId="6" fillId="0" borderId="24" xfId="28" applyNumberFormat="1" applyFont="1" applyBorder="1" applyAlignment="1">
      <alignment horizontal="right" vertical="center"/>
    </xf>
    <xf numFmtId="0" fontId="7" fillId="0" borderId="0" xfId="0" applyFont="1"/>
    <xf numFmtId="10" fontId="6" fillId="0" borderId="24" xfId="47" applyNumberFormat="1" applyFont="1" applyBorder="1" applyAlignment="1">
      <alignment horizontal="right" vertical="center"/>
    </xf>
    <xf numFmtId="0" fontId="6" fillId="0" borderId="24" xfId="0" applyFont="1" applyBorder="1" applyAlignment="1">
      <alignment horizontal="right" vertical="center"/>
    </xf>
    <xf numFmtId="0" fontId="44" fillId="0" borderId="0" xfId="0" applyFont="1" applyAlignment="1">
      <alignment horizontal="right"/>
    </xf>
    <xf numFmtId="166" fontId="7" fillId="0" borderId="0" xfId="47" applyNumberFormat="1" applyFont="1"/>
    <xf numFmtId="0" fontId="26" fillId="0" borderId="24" xfId="0" applyFont="1" applyBorder="1" applyAlignment="1">
      <alignment horizontal="right" vertical="center"/>
    </xf>
    <xf numFmtId="166" fontId="1" fillId="0" borderId="0" xfId="47" applyNumberFormat="1"/>
    <xf numFmtId="167" fontId="6" fillId="0" borderId="24" xfId="0" applyNumberFormat="1" applyFont="1" applyBorder="1" applyAlignment="1">
      <alignment horizontal="right"/>
    </xf>
    <xf numFmtId="8" fontId="1" fillId="31" borderId="0" xfId="0" applyNumberFormat="1" applyFont="1" applyFill="1"/>
    <xf numFmtId="40" fontId="6" fillId="33" borderId="0" xfId="28" applyNumberFormat="1" applyFont="1" applyFill="1" applyAlignment="1">
      <alignment horizontal="right" vertical="center"/>
    </xf>
    <xf numFmtId="168" fontId="6" fillId="33" borderId="0" xfId="28" applyNumberFormat="1" applyFont="1" applyFill="1" applyAlignment="1">
      <alignment horizontal="right" vertical="center"/>
    </xf>
    <xf numFmtId="2" fontId="1" fillId="31" borderId="0" xfId="0" applyNumberFormat="1" applyFont="1" applyFill="1"/>
    <xf numFmtId="38" fontId="6" fillId="33" borderId="0" xfId="28" applyNumberFormat="1" applyFont="1" applyFill="1" applyAlignment="1">
      <alignment horizontal="right" vertical="center"/>
    </xf>
    <xf numFmtId="168" fontId="5" fillId="33" borderId="0" xfId="28" applyNumberFormat="1" applyFont="1" applyFill="1" applyAlignment="1">
      <alignment horizontal="right" vertical="center"/>
    </xf>
    <xf numFmtId="8" fontId="1" fillId="0" borderId="0" xfId="0" applyNumberFormat="1" applyFont="1"/>
    <xf numFmtId="0" fontId="45" fillId="31" borderId="0" xfId="0" applyFont="1" applyFill="1" applyAlignment="1">
      <alignment horizontal="center" vertical="center" wrapText="1"/>
    </xf>
    <xf numFmtId="0" fontId="45" fillId="31" borderId="0" xfId="0" applyFont="1" applyFill="1" applyAlignment="1">
      <alignment horizontal="right" vertical="center" wrapText="1"/>
    </xf>
    <xf numFmtId="4" fontId="7" fillId="31" borderId="0" xfId="0" applyNumberFormat="1" applyFont="1" applyFill="1" applyAlignment="1">
      <alignment vertical="top" wrapText="1"/>
    </xf>
    <xf numFmtId="0" fontId="7" fillId="34" borderId="0" xfId="0" applyFont="1" applyFill="1" applyAlignment="1">
      <alignment horizontal="center"/>
    </xf>
    <xf numFmtId="14" fontId="7" fillId="34" borderId="0" xfId="28" applyNumberFormat="1" applyFont="1" applyFill="1" applyAlignment="1">
      <alignment horizontal="right" vertical="center"/>
    </xf>
    <xf numFmtId="4" fontId="7" fillId="34" borderId="0" xfId="0" applyNumberFormat="1" applyFont="1" applyFill="1" applyAlignment="1">
      <alignment horizontal="right"/>
    </xf>
    <xf numFmtId="0" fontId="7" fillId="0" borderId="0" xfId="0" applyFont="1" applyAlignment="1">
      <alignment horizontal="center"/>
    </xf>
    <xf numFmtId="14" fontId="7" fillId="0" borderId="0" xfId="0" applyNumberFormat="1" applyFont="1" applyAlignment="1">
      <alignment horizontal="right" vertical="center"/>
    </xf>
    <xf numFmtId="4" fontId="7" fillId="0" borderId="0" xfId="0" applyNumberFormat="1" applyFont="1" applyAlignment="1">
      <alignment horizontal="right"/>
    </xf>
    <xf numFmtId="0" fontId="1" fillId="35" borderId="0" xfId="0" applyFont="1" applyFill="1"/>
    <xf numFmtId="0" fontId="1" fillId="35" borderId="0" xfId="0" applyFont="1" applyFill="1" applyAlignment="1">
      <alignment horizontal="right"/>
    </xf>
    <xf numFmtId="0" fontId="0" fillId="36" borderId="0" xfId="0" applyFill="1"/>
    <xf numFmtId="0" fontId="1" fillId="0" borderId="20" xfId="0" applyFont="1" applyBorder="1" applyAlignment="1">
      <alignment horizontal="center"/>
    </xf>
    <xf numFmtId="0" fontId="46" fillId="26" borderId="0" xfId="0" applyFont="1" applyFill="1" applyAlignment="1">
      <alignment horizontal="center"/>
    </xf>
    <xf numFmtId="0" fontId="46" fillId="36" borderId="0" xfId="0" applyFont="1" applyFill="1" applyAlignment="1">
      <alignment horizontal="center"/>
    </xf>
    <xf numFmtId="0" fontId="46" fillId="27" borderId="0" xfId="0" applyFont="1" applyFill="1" applyAlignment="1">
      <alignment horizontal="center"/>
    </xf>
    <xf numFmtId="8" fontId="46" fillId="26" borderId="0" xfId="0" applyNumberFormat="1" applyFont="1" applyFill="1"/>
    <xf numFmtId="8" fontId="0" fillId="28" borderId="0" xfId="0" applyNumberFormat="1" applyFill="1"/>
    <xf numFmtId="8" fontId="0" fillId="29" borderId="0" xfId="0" applyNumberFormat="1" applyFill="1"/>
    <xf numFmtId="8" fontId="46" fillId="26" borderId="0" xfId="0" applyNumberFormat="1" applyFont="1" applyFill="1" applyAlignment="1">
      <alignment horizontal="center"/>
    </xf>
    <xf numFmtId="8" fontId="46" fillId="28" borderId="0" xfId="0" applyNumberFormat="1" applyFont="1" applyFill="1"/>
    <xf numFmtId="8" fontId="46" fillId="29" borderId="0" xfId="0" applyNumberFormat="1" applyFont="1" applyFill="1"/>
    <xf numFmtId="0" fontId="51" fillId="30" borderId="0" xfId="0" applyFont="1" applyFill="1" applyAlignment="1">
      <alignment horizontal="center"/>
    </xf>
    <xf numFmtId="6" fontId="56" fillId="27" borderId="0" xfId="0" applyNumberFormat="1" applyFont="1" applyFill="1"/>
    <xf numFmtId="6" fontId="56" fillId="36" borderId="0" xfId="0" applyNumberFormat="1" applyFont="1" applyFill="1" applyAlignment="1">
      <alignment horizontal="center"/>
    </xf>
    <xf numFmtId="6" fontId="56" fillId="26" borderId="0" xfId="0" applyNumberFormat="1" applyFont="1" applyFill="1"/>
    <xf numFmtId="0" fontId="57" fillId="27" borderId="0" xfId="0" applyFont="1" applyFill="1" applyAlignment="1">
      <alignment horizontal="center"/>
    </xf>
    <xf numFmtId="0" fontId="57" fillId="36" borderId="0" xfId="0" applyFont="1" applyFill="1" applyAlignment="1">
      <alignment horizontal="center"/>
    </xf>
    <xf numFmtId="0" fontId="57" fillId="26" borderId="0" xfId="0" applyFont="1" applyFill="1" applyAlignment="1">
      <alignment horizontal="center"/>
    </xf>
    <xf numFmtId="0" fontId="4" fillId="29" borderId="16" xfId="0" applyFont="1" applyFill="1" applyBorder="1" applyAlignment="1">
      <alignment horizontal="center" vertical="center" wrapText="1"/>
    </xf>
    <xf numFmtId="0" fontId="1" fillId="0" borderId="21" xfId="0" applyFont="1" applyBorder="1" applyAlignment="1">
      <alignment horizontal="center"/>
    </xf>
    <xf numFmtId="6" fontId="27" fillId="0" borderId="0" xfId="0" applyNumberFormat="1" applyFont="1"/>
    <xf numFmtId="0" fontId="4" fillId="28" borderId="16" xfId="0" applyFont="1" applyFill="1" applyBorder="1" applyAlignment="1">
      <alignment horizontal="center" vertical="center" wrapText="1"/>
    </xf>
    <xf numFmtId="6" fontId="0" fillId="26" borderId="0" xfId="0" applyNumberFormat="1" applyFill="1"/>
    <xf numFmtId="6" fontId="0" fillId="36" borderId="0" xfId="0" applyNumberFormat="1" applyFill="1"/>
    <xf numFmtId="6" fontId="0" fillId="27" borderId="0" xfId="0" applyNumberFormat="1" applyFill="1"/>
    <xf numFmtId="44" fontId="27" fillId="0" borderId="0" xfId="28" applyFont="1" applyAlignment="1">
      <alignment horizontal="center"/>
    </xf>
    <xf numFmtId="0" fontId="1" fillId="0" borderId="17" xfId="0" applyFont="1" applyBorder="1" applyAlignment="1">
      <alignment horizontal="center"/>
    </xf>
    <xf numFmtId="44" fontId="27" fillId="0" borderId="0" xfId="0" applyNumberFormat="1" applyFont="1"/>
    <xf numFmtId="164" fontId="27" fillId="0" borderId="0" xfId="0" applyNumberFormat="1" applyFont="1"/>
    <xf numFmtId="6" fontId="27" fillId="0" borderId="0" xfId="28" applyNumberFormat="1" applyFont="1" applyAlignment="1">
      <alignment horizontal="right"/>
    </xf>
    <xf numFmtId="0" fontId="4" fillId="0" borderId="20" xfId="0" applyFont="1" applyBorder="1" applyAlignment="1">
      <alignment horizontal="center"/>
    </xf>
    <xf numFmtId="0" fontId="29" fillId="0" borderId="16" xfId="0" applyFont="1" applyBorder="1" applyAlignment="1">
      <alignment horizontal="center" vertical="center" wrapText="1"/>
    </xf>
    <xf numFmtId="0" fontId="4" fillId="29" borderId="20" xfId="0" applyFont="1" applyFill="1" applyBorder="1" applyAlignment="1">
      <alignment horizontal="center"/>
    </xf>
    <xf numFmtId="8" fontId="27" fillId="0" borderId="0" xfId="28" applyNumberFormat="1" applyFont="1" applyAlignment="1">
      <alignment horizontal="right"/>
    </xf>
    <xf numFmtId="49" fontId="0" fillId="0" borderId="0" xfId="0" applyNumberFormat="1" applyAlignment="1">
      <alignment horizontal="center"/>
    </xf>
    <xf numFmtId="0" fontId="27" fillId="0" borderId="0" xfId="0" applyFont="1" applyAlignment="1">
      <alignment horizontal="center"/>
    </xf>
    <xf numFmtId="49" fontId="27" fillId="24" borderId="14" xfId="0" applyNumberFormat="1" applyFont="1" applyFill="1" applyBorder="1" applyAlignment="1">
      <alignment horizontal="center"/>
    </xf>
    <xf numFmtId="0" fontId="1" fillId="0" borderId="23" xfId="0" applyFont="1" applyBorder="1" applyAlignment="1">
      <alignment horizontal="center"/>
    </xf>
    <xf numFmtId="0" fontId="0" fillId="32" borderId="0" xfId="0" applyFill="1"/>
    <xf numFmtId="0" fontId="0" fillId="36" borderId="0" xfId="0" applyFill="1" applyAlignment="1">
      <alignment horizontal="center"/>
    </xf>
    <xf numFmtId="0" fontId="29" fillId="28" borderId="29" xfId="0" applyFont="1" applyFill="1" applyBorder="1" applyAlignment="1">
      <alignment horizontal="center"/>
    </xf>
    <xf numFmtId="8" fontId="4" fillId="28" borderId="30" xfId="0" applyNumberFormat="1" applyFont="1" applyFill="1" applyBorder="1"/>
    <xf numFmtId="8" fontId="4" fillId="29" borderId="30" xfId="0" applyNumberFormat="1" applyFont="1" applyFill="1" applyBorder="1"/>
    <xf numFmtId="0" fontId="4" fillId="29" borderId="29" xfId="0" applyFont="1" applyFill="1" applyBorder="1" applyAlignment="1">
      <alignment horizontal="center"/>
    </xf>
    <xf numFmtId="0" fontId="58" fillId="27" borderId="36" xfId="0" applyFont="1" applyFill="1" applyBorder="1" applyAlignment="1">
      <alignment horizontal="center"/>
    </xf>
    <xf numFmtId="8" fontId="5" fillId="38" borderId="33" xfId="0" applyNumberFormat="1" applyFont="1" applyFill="1" applyBorder="1"/>
    <xf numFmtId="0" fontId="68" fillId="38" borderId="36" xfId="0" applyFont="1" applyFill="1" applyBorder="1" applyAlignment="1">
      <alignment horizontal="center"/>
    </xf>
    <xf numFmtId="8" fontId="33" fillId="27" borderId="33" xfId="0" applyNumberFormat="1" applyFont="1" applyFill="1" applyBorder="1"/>
    <xf numFmtId="8" fontId="71" fillId="28" borderId="30" xfId="0" applyNumberFormat="1" applyFont="1" applyFill="1" applyBorder="1"/>
    <xf numFmtId="8" fontId="71" fillId="29" borderId="30" xfId="0" applyNumberFormat="1" applyFont="1" applyFill="1" applyBorder="1"/>
    <xf numFmtId="0" fontId="61" fillId="36" borderId="0" xfId="0" applyFont="1" applyFill="1" applyAlignment="1">
      <alignment horizontal="center"/>
    </xf>
    <xf numFmtId="0" fontId="61" fillId="36" borderId="0" xfId="0" applyFont="1" applyFill="1" applyAlignment="1">
      <alignment horizontal="center" vertical="center"/>
    </xf>
    <xf numFmtId="0" fontId="0" fillId="27" borderId="32" xfId="0" applyFill="1" applyBorder="1" applyAlignment="1">
      <alignment horizontal="center"/>
    </xf>
    <xf numFmtId="8" fontId="33" fillId="27" borderId="0" xfId="0" applyNumberFormat="1" applyFont="1" applyFill="1"/>
    <xf numFmtId="8" fontId="33" fillId="27" borderId="32" xfId="0" applyNumberFormat="1" applyFont="1" applyFill="1" applyBorder="1"/>
    <xf numFmtId="0" fontId="58" fillId="27" borderId="37" xfId="0" applyFont="1" applyFill="1" applyBorder="1" applyAlignment="1">
      <alignment horizontal="center"/>
    </xf>
    <xf numFmtId="0" fontId="68" fillId="38" borderId="37" xfId="0" applyFont="1" applyFill="1" applyBorder="1" applyAlignment="1">
      <alignment horizontal="center"/>
    </xf>
    <xf numFmtId="8" fontId="5" fillId="38" borderId="38" xfId="0" applyNumberFormat="1" applyFont="1" applyFill="1" applyBorder="1"/>
    <xf numFmtId="0" fontId="70" fillId="27" borderId="39" xfId="0" applyFont="1" applyFill="1" applyBorder="1" applyAlignment="1">
      <alignment horizontal="center"/>
    </xf>
    <xf numFmtId="0" fontId="0" fillId="27" borderId="39" xfId="0" applyFill="1" applyBorder="1" applyAlignment="1">
      <alignment horizontal="center"/>
    </xf>
    <xf numFmtId="0" fontId="60" fillId="38" borderId="37" xfId="0" applyFont="1" applyFill="1" applyBorder="1" applyAlignment="1">
      <alignment horizontal="center"/>
    </xf>
    <xf numFmtId="0" fontId="50" fillId="38" borderId="39" xfId="0" applyFont="1" applyFill="1" applyBorder="1"/>
    <xf numFmtId="0" fontId="73" fillId="38" borderId="39" xfId="0" applyFont="1" applyFill="1" applyBorder="1" applyAlignment="1">
      <alignment horizontal="center" vertical="center"/>
    </xf>
    <xf numFmtId="0" fontId="73" fillId="38" borderId="37" xfId="0" applyFont="1" applyFill="1" applyBorder="1" applyAlignment="1">
      <alignment horizontal="center" vertical="center"/>
    </xf>
    <xf numFmtId="0" fontId="66" fillId="27" borderId="40" xfId="0" applyFont="1" applyFill="1" applyBorder="1" applyAlignment="1">
      <alignment horizontal="left"/>
    </xf>
    <xf numFmtId="0" fontId="66" fillId="27" borderId="39" xfId="0" applyFont="1" applyFill="1" applyBorder="1" applyAlignment="1">
      <alignment horizontal="right" vertical="center"/>
    </xf>
    <xf numFmtId="0" fontId="1" fillId="30" borderId="0" xfId="0" applyFont="1" applyFill="1"/>
    <xf numFmtId="0" fontId="4" fillId="38" borderId="39" xfId="0" applyFont="1" applyFill="1" applyBorder="1" applyAlignment="1">
      <alignment horizontal="right" vertical="center"/>
    </xf>
    <xf numFmtId="0" fontId="4" fillId="38" borderId="40" xfId="0" applyFont="1" applyFill="1" applyBorder="1" applyAlignment="1">
      <alignment horizontal="left"/>
    </xf>
    <xf numFmtId="0" fontId="4" fillId="38" borderId="0" xfId="0" applyFont="1" applyFill="1" applyAlignment="1">
      <alignment horizontal="center" vertical="center"/>
    </xf>
    <xf numFmtId="0" fontId="66" fillId="39" borderId="0" xfId="0" applyFont="1" applyFill="1" applyAlignment="1">
      <alignment horizontal="center" vertical="center"/>
    </xf>
    <xf numFmtId="0" fontId="67" fillId="39" borderId="0" xfId="0" applyFont="1" applyFill="1" applyAlignment="1">
      <alignment horizontal="center" vertical="center"/>
    </xf>
    <xf numFmtId="44" fontId="4" fillId="0" borderId="21" xfId="28" applyFont="1" applyBorder="1"/>
    <xf numFmtId="8" fontId="5" fillId="0" borderId="0" xfId="0" applyNumberFormat="1" applyFont="1" applyAlignment="1">
      <alignment horizontal="center" vertical="center"/>
    </xf>
    <xf numFmtId="0" fontId="4" fillId="0" borderId="0" xfId="0" applyFont="1" applyAlignment="1">
      <alignment horizontal="center" vertical="center"/>
    </xf>
    <xf numFmtId="0" fontId="2" fillId="0" borderId="0" xfId="0" applyFont="1" applyAlignment="1">
      <alignment vertical="center"/>
    </xf>
    <xf numFmtId="49" fontId="27" fillId="0" borderId="0" xfId="0" applyNumberFormat="1" applyFont="1" applyAlignment="1">
      <alignment horizontal="center" vertical="center"/>
    </xf>
    <xf numFmtId="44" fontId="27" fillId="0" borderId="0" xfId="28" applyFont="1" applyAlignment="1">
      <alignment vertical="center"/>
    </xf>
    <xf numFmtId="0" fontId="27" fillId="0" borderId="0" xfId="0" applyFont="1" applyAlignment="1">
      <alignment vertical="center"/>
    </xf>
    <xf numFmtId="0" fontId="77" fillId="0" borderId="0" xfId="0" applyFont="1"/>
    <xf numFmtId="0" fontId="27" fillId="0" borderId="0" xfId="0" applyFont="1" applyAlignment="1">
      <alignment horizontal="center" vertical="center"/>
    </xf>
    <xf numFmtId="49" fontId="78" fillId="0" borderId="0" xfId="0" applyNumberFormat="1" applyFont="1" applyAlignment="1">
      <alignment horizontal="center" vertical="center"/>
    </xf>
    <xf numFmtId="14" fontId="27" fillId="0" borderId="0" xfId="0" applyNumberFormat="1" applyFont="1" applyAlignment="1">
      <alignment horizontal="center" vertical="center"/>
    </xf>
    <xf numFmtId="44" fontId="27" fillId="0" borderId="0" xfId="28" applyFont="1" applyAlignment="1">
      <alignment horizontal="center" vertical="center"/>
    </xf>
    <xf numFmtId="44" fontId="2" fillId="0" borderId="0" xfId="28" applyFont="1" applyAlignment="1">
      <alignment vertical="center"/>
    </xf>
    <xf numFmtId="0" fontId="77" fillId="0" borderId="0" xfId="0" applyFont="1" applyAlignment="1">
      <alignment horizontal="left"/>
    </xf>
    <xf numFmtId="49" fontId="2" fillId="0" borderId="0" xfId="0" applyNumberFormat="1" applyFont="1" applyAlignment="1">
      <alignment horizontal="center" vertical="center"/>
    </xf>
    <xf numFmtId="44" fontId="2" fillId="0" borderId="0" xfId="28" applyFont="1" applyAlignment="1">
      <alignment horizontal="center" vertical="center"/>
    </xf>
    <xf numFmtId="44" fontId="27" fillId="0" borderId="0" xfId="28" applyFont="1" applyAlignment="1">
      <alignment horizontal="right" vertical="center"/>
    </xf>
    <xf numFmtId="6" fontId="27" fillId="0" borderId="0" xfId="28" applyNumberFormat="1" applyFont="1" applyAlignment="1">
      <alignment vertical="center"/>
    </xf>
    <xf numFmtId="0" fontId="1" fillId="0" borderId="0" xfId="0" applyFont="1" applyAlignment="1">
      <alignment horizontal="center"/>
    </xf>
    <xf numFmtId="0" fontId="1" fillId="32" borderId="0" xfId="0" applyFont="1" applyFill="1" applyAlignment="1">
      <alignment horizontal="center"/>
    </xf>
    <xf numFmtId="0" fontId="29" fillId="0" borderId="0" xfId="0" applyFont="1" applyAlignment="1">
      <alignment horizontal="right"/>
    </xf>
    <xf numFmtId="0" fontId="1" fillId="32" borderId="0" xfId="0" applyFont="1" applyFill="1"/>
    <xf numFmtId="0" fontId="32" fillId="40" borderId="0" xfId="0" applyFont="1" applyFill="1" applyAlignment="1">
      <alignment horizontal="center" vertical="center" wrapText="1"/>
    </xf>
    <xf numFmtId="0" fontId="4" fillId="32" borderId="0" xfId="0" applyFont="1" applyFill="1" applyAlignment="1">
      <alignment horizontal="center" vertical="center" wrapText="1"/>
    </xf>
    <xf numFmtId="44" fontId="4" fillId="0" borderId="18" xfId="28" applyFont="1" applyBorder="1" applyAlignment="1">
      <alignment horizontal="center"/>
    </xf>
    <xf numFmtId="44" fontId="1" fillId="0" borderId="18" xfId="28" applyBorder="1"/>
    <xf numFmtId="44" fontId="1" fillId="0" borderId="18" xfId="28" applyBorder="1" applyAlignment="1">
      <alignment horizontal="center"/>
    </xf>
    <xf numFmtId="44" fontId="30" fillId="0" borderId="16" xfId="28" applyFont="1" applyBorder="1" applyAlignment="1">
      <alignment horizontal="center" vertical="center" wrapText="1"/>
    </xf>
    <xf numFmtId="6" fontId="29" fillId="0" borderId="16" xfId="0" applyNumberFormat="1" applyFont="1" applyBorder="1" applyAlignment="1">
      <alignment horizontal="center" vertical="center" wrapText="1"/>
    </xf>
    <xf numFmtId="44" fontId="1" fillId="0" borderId="21" xfId="28" applyBorder="1"/>
    <xf numFmtId="164" fontId="1" fillId="0" borderId="21" xfId="28" applyNumberFormat="1" applyBorder="1"/>
    <xf numFmtId="0" fontId="1" fillId="0" borderId="25" xfId="0" applyFont="1" applyBorder="1" applyAlignment="1">
      <alignment horizontal="center"/>
    </xf>
    <xf numFmtId="0" fontId="1" fillId="0" borderId="22" xfId="0" applyFont="1" applyBorder="1" applyAlignment="1">
      <alignment horizontal="center"/>
    </xf>
    <xf numFmtId="44" fontId="1" fillId="0" borderId="22" xfId="28" applyBorder="1"/>
    <xf numFmtId="0" fontId="1" fillId="32" borderId="0" xfId="0" applyFont="1" applyFill="1" applyAlignment="1">
      <alignment horizontal="left" vertical="top"/>
    </xf>
    <xf numFmtId="0" fontId="1" fillId="0" borderId="0" xfId="0" applyFont="1" applyAlignment="1">
      <alignment horizontal="left" vertical="top"/>
    </xf>
    <xf numFmtId="0" fontId="0" fillId="32" borderId="0" xfId="0" applyFill="1" applyAlignment="1">
      <alignment horizontal="center"/>
    </xf>
    <xf numFmtId="164" fontId="80" fillId="32" borderId="0" xfId="0" applyNumberFormat="1" applyFont="1" applyFill="1" applyAlignment="1">
      <alignment horizontal="center"/>
    </xf>
    <xf numFmtId="0" fontId="82" fillId="32" borderId="0" xfId="0" applyFont="1" applyFill="1" applyAlignment="1">
      <alignment horizontal="center"/>
    </xf>
    <xf numFmtId="0" fontId="83" fillId="32" borderId="0" xfId="0" applyFont="1" applyFill="1" applyAlignment="1">
      <alignment vertical="center"/>
    </xf>
    <xf numFmtId="0" fontId="61" fillId="0" borderId="0" xfId="0" applyFont="1" applyAlignment="1">
      <alignment horizontal="center" vertical="center"/>
    </xf>
    <xf numFmtId="0" fontId="47" fillId="40" borderId="0" xfId="0" applyFont="1" applyFill="1" applyAlignment="1">
      <alignment horizontal="center" vertical="center"/>
    </xf>
    <xf numFmtId="0" fontId="85" fillId="28" borderId="0" xfId="0" applyFont="1" applyFill="1" applyAlignment="1">
      <alignment horizontal="center" vertical="center"/>
    </xf>
    <xf numFmtId="0" fontId="85" fillId="41" borderId="0" xfId="0" applyFont="1" applyFill="1" applyAlignment="1">
      <alignment horizontal="center" vertical="center"/>
    </xf>
    <xf numFmtId="0" fontId="83" fillId="32" borderId="0" xfId="0" applyFont="1" applyFill="1" applyAlignment="1">
      <alignment horizontal="center"/>
    </xf>
    <xf numFmtId="0" fontId="61" fillId="32" borderId="0" xfId="0" applyFont="1" applyFill="1" applyAlignment="1">
      <alignment horizontal="center" vertical="center"/>
    </xf>
    <xf numFmtId="164" fontId="85" fillId="0" borderId="0" xfId="28" applyNumberFormat="1" applyFont="1" applyAlignment="1">
      <alignment horizontal="center" vertical="center"/>
    </xf>
    <xf numFmtId="164" fontId="85" fillId="0" borderId="0" xfId="0" applyNumberFormat="1" applyFont="1" applyAlignment="1">
      <alignment horizontal="center" vertical="center"/>
    </xf>
    <xf numFmtId="0" fontId="58" fillId="40" borderId="0" xfId="0" applyFont="1" applyFill="1" applyAlignment="1">
      <alignment horizontal="center" vertical="center"/>
    </xf>
    <xf numFmtId="164" fontId="86" fillId="40" borderId="41" xfId="28" applyNumberFormat="1" applyFont="1" applyFill="1" applyBorder="1" applyAlignment="1">
      <alignment horizontal="center" vertical="center"/>
    </xf>
    <xf numFmtId="8" fontId="2" fillId="28" borderId="41" xfId="0" applyNumberFormat="1" applyFont="1" applyFill="1" applyBorder="1" applyAlignment="1">
      <alignment horizontal="center" vertical="center"/>
    </xf>
    <xf numFmtId="164" fontId="2" fillId="41" borderId="41" xfId="28" applyNumberFormat="1" applyFont="1" applyFill="1" applyBorder="1" applyAlignment="1">
      <alignment horizontal="center" vertical="center"/>
    </xf>
    <xf numFmtId="0" fontId="87" fillId="0" borderId="0" xfId="0" applyFont="1" applyAlignment="1">
      <alignment horizontal="center" vertical="center"/>
    </xf>
    <xf numFmtId="164" fontId="87" fillId="0" borderId="0" xfId="28" applyNumberFormat="1" applyFont="1" applyAlignment="1">
      <alignment horizontal="center" vertical="center"/>
    </xf>
    <xf numFmtId="164" fontId="87" fillId="0" borderId="0" xfId="0" applyNumberFormat="1" applyFont="1" applyAlignment="1">
      <alignment horizontal="center" vertical="center"/>
    </xf>
    <xf numFmtId="164" fontId="0" fillId="0" borderId="0" xfId="0" applyNumberFormat="1" applyAlignment="1">
      <alignment horizontal="center" vertical="center"/>
    </xf>
    <xf numFmtId="0" fontId="0" fillId="32" borderId="0" xfId="0" applyFill="1" applyAlignment="1">
      <alignment vertical="center"/>
    </xf>
    <xf numFmtId="0" fontId="61" fillId="40" borderId="41" xfId="0" applyFont="1" applyFill="1" applyBorder="1" applyAlignment="1">
      <alignment horizontal="center" vertical="center"/>
    </xf>
    <xf numFmtId="0" fontId="83" fillId="40" borderId="0" xfId="0" applyFont="1" applyFill="1" applyAlignment="1">
      <alignment horizontal="center"/>
    </xf>
    <xf numFmtId="0" fontId="88" fillId="40" borderId="41" xfId="0" applyFont="1" applyFill="1" applyBorder="1" applyAlignment="1">
      <alignment horizontal="center"/>
    </xf>
    <xf numFmtId="0" fontId="89" fillId="40" borderId="0" xfId="0" applyFont="1" applyFill="1" applyAlignment="1">
      <alignment horizontal="center"/>
    </xf>
    <xf numFmtId="0" fontId="90" fillId="40" borderId="0" xfId="0" applyFont="1" applyFill="1" applyAlignment="1">
      <alignment horizontal="center"/>
    </xf>
    <xf numFmtId="0" fontId="84" fillId="40" borderId="0" xfId="0" applyFont="1" applyFill="1" applyAlignment="1">
      <alignment horizontal="center"/>
    </xf>
    <xf numFmtId="164" fontId="69" fillId="0" borderId="0" xfId="28" applyNumberFormat="1" applyFont="1" applyAlignment="1">
      <alignment horizontal="center" vertical="center"/>
    </xf>
    <xf numFmtId="164" fontId="69" fillId="0" borderId="0" xfId="0" applyNumberFormat="1" applyFont="1" applyAlignment="1">
      <alignment horizontal="center" vertical="center"/>
    </xf>
    <xf numFmtId="0" fontId="62" fillId="32" borderId="0" xfId="0" applyFont="1" applyFill="1"/>
    <xf numFmtId="0" fontId="50" fillId="32" borderId="0" xfId="0" applyFont="1" applyFill="1" applyAlignment="1">
      <alignment horizontal="center" vertical="center"/>
    </xf>
    <xf numFmtId="0" fontId="93" fillId="0" borderId="0" xfId="0" applyFont="1" applyAlignment="1">
      <alignment horizontal="center" vertical="center"/>
    </xf>
    <xf numFmtId="0" fontId="66" fillId="0" borderId="0" xfId="0" applyFont="1" applyAlignment="1">
      <alignment horizontal="center" vertical="center"/>
    </xf>
    <xf numFmtId="0" fontId="74" fillId="0" borderId="0" xfId="0" applyFont="1" applyAlignment="1">
      <alignment horizontal="center"/>
    </xf>
    <xf numFmtId="8" fontId="33" fillId="0" borderId="0" xfId="0" applyNumberFormat="1" applyFont="1"/>
    <xf numFmtId="164" fontId="87" fillId="0" borderId="35" xfId="0" applyNumberFormat="1" applyFont="1" applyBorder="1" applyAlignment="1">
      <alignment horizontal="center"/>
    </xf>
    <xf numFmtId="0" fontId="0" fillId="0" borderId="0" xfId="0" applyAlignment="1">
      <alignment horizontal="center"/>
    </xf>
    <xf numFmtId="0" fontId="70" fillId="0" borderId="0" xfId="0" applyFont="1" applyAlignment="1">
      <alignment horizontal="center"/>
    </xf>
    <xf numFmtId="0" fontId="66" fillId="0" borderId="0" xfId="0" applyFont="1" applyAlignment="1">
      <alignment horizontal="right" vertical="center"/>
    </xf>
    <xf numFmtId="0" fontId="95" fillId="0" borderId="0" xfId="0" applyFont="1" applyAlignment="1">
      <alignment horizontal="center" vertical="center"/>
    </xf>
    <xf numFmtId="0" fontId="66" fillId="0" borderId="0" xfId="0" applyFont="1" applyAlignment="1">
      <alignment horizontal="left"/>
    </xf>
    <xf numFmtId="0" fontId="29" fillId="0" borderId="0" xfId="0" applyFont="1" applyAlignment="1">
      <alignment horizontal="center"/>
    </xf>
    <xf numFmtId="8" fontId="4" fillId="0" borderId="0" xfId="0" applyNumberFormat="1" applyFont="1"/>
    <xf numFmtId="8" fontId="5" fillId="0" borderId="0" xfId="0" applyNumberFormat="1" applyFont="1"/>
    <xf numFmtId="0" fontId="4" fillId="0" borderId="0" xfId="0" applyFont="1" applyAlignment="1">
      <alignment horizontal="right" vertical="center"/>
    </xf>
    <xf numFmtId="0" fontId="4" fillId="0" borderId="0" xfId="0" applyFont="1" applyAlignment="1">
      <alignment horizontal="left"/>
    </xf>
    <xf numFmtId="0" fontId="50" fillId="0" borderId="0" xfId="0" applyFont="1"/>
    <xf numFmtId="8" fontId="71" fillId="0" borderId="0" xfId="0" applyNumberFormat="1" applyFont="1"/>
    <xf numFmtId="0" fontId="60" fillId="0" borderId="0" xfId="0" applyFont="1" applyAlignment="1">
      <alignment horizontal="center"/>
    </xf>
    <xf numFmtId="164" fontId="69" fillId="0" borderId="35" xfId="0" applyNumberFormat="1" applyFont="1" applyBorder="1" applyAlignment="1">
      <alignment horizontal="center"/>
    </xf>
    <xf numFmtId="0" fontId="61" fillId="0" borderId="0" xfId="0" applyFont="1" applyAlignment="1">
      <alignment horizontal="center"/>
    </xf>
    <xf numFmtId="0" fontId="96" fillId="40" borderId="0" xfId="0" applyFont="1" applyFill="1" applyAlignment="1">
      <alignment horizontal="center" vertical="center"/>
    </xf>
    <xf numFmtId="0" fontId="96" fillId="40" borderId="0" xfId="0" applyFont="1" applyFill="1" applyAlignment="1">
      <alignment horizontal="left" vertical="center"/>
    </xf>
    <xf numFmtId="164" fontId="98" fillId="40" borderId="41" xfId="28" applyNumberFormat="1" applyFont="1" applyFill="1" applyBorder="1" applyAlignment="1">
      <alignment horizontal="center" vertical="center"/>
    </xf>
    <xf numFmtId="164" fontId="98" fillId="40" borderId="0" xfId="28" applyNumberFormat="1" applyFont="1" applyFill="1" applyAlignment="1">
      <alignment horizontal="center" vertical="center"/>
    </xf>
    <xf numFmtId="0" fontId="62" fillId="0" borderId="0" xfId="0" applyFont="1" applyAlignment="1">
      <alignment horizontal="center"/>
    </xf>
    <xf numFmtId="0" fontId="51" fillId="0" borderId="0" xfId="0" applyFont="1" applyAlignment="1">
      <alignment horizontal="center"/>
    </xf>
    <xf numFmtId="0" fontId="73" fillId="0" borderId="0" xfId="0" applyFont="1" applyAlignment="1">
      <alignment horizontal="center" vertical="center"/>
    </xf>
    <xf numFmtId="0" fontId="63" fillId="0" borderId="0" xfId="0" applyFont="1" applyAlignment="1">
      <alignment horizontal="center"/>
    </xf>
    <xf numFmtId="0" fontId="69" fillId="0" borderId="0" xfId="0" applyFont="1" applyAlignment="1">
      <alignment horizontal="center" vertical="center"/>
    </xf>
    <xf numFmtId="0" fontId="58" fillId="0" borderId="0" xfId="0" applyFont="1" applyAlignment="1">
      <alignment horizontal="center"/>
    </xf>
    <xf numFmtId="0" fontId="66" fillId="0" borderId="0" xfId="0" applyFont="1" applyAlignment="1">
      <alignment horizontal="center"/>
    </xf>
    <xf numFmtId="0" fontId="72" fillId="0" borderId="0" xfId="0" applyFont="1" applyAlignment="1">
      <alignment horizontal="center"/>
    </xf>
    <xf numFmtId="0" fontId="84" fillId="0" borderId="0" xfId="0" applyFont="1" applyAlignment="1">
      <alignment horizontal="center" vertical="center"/>
    </xf>
    <xf numFmtId="0" fontId="68" fillId="0" borderId="0" xfId="0" applyFont="1" applyAlignment="1">
      <alignment horizontal="center"/>
    </xf>
    <xf numFmtId="0" fontId="52" fillId="0" borderId="0" xfId="0" applyFont="1" applyAlignment="1">
      <alignment horizontal="center"/>
    </xf>
    <xf numFmtId="0" fontId="68" fillId="0" borderId="0" xfId="0" applyFont="1" applyAlignment="1">
      <alignment horizontal="center" vertical="center"/>
    </xf>
    <xf numFmtId="44" fontId="7" fillId="0" borderId="16" xfId="28" applyFont="1" applyBorder="1" applyAlignment="1">
      <alignment horizontal="center" vertical="center" wrapText="1"/>
    </xf>
    <xf numFmtId="44" fontId="7" fillId="28" borderId="16" xfId="28" applyFont="1" applyFill="1" applyBorder="1" applyAlignment="1">
      <alignment horizontal="center" vertical="center" wrapText="1"/>
    </xf>
    <xf numFmtId="44" fontId="7" fillId="29" borderId="16" xfId="28" applyFont="1" applyFill="1" applyBorder="1" applyAlignment="1">
      <alignment horizontal="center" vertical="center" wrapText="1"/>
    </xf>
    <xf numFmtId="44" fontId="56" fillId="26" borderId="0" xfId="0" applyNumberFormat="1" applyFont="1" applyFill="1"/>
    <xf numFmtId="44" fontId="56" fillId="27" borderId="0" xfId="0" applyNumberFormat="1" applyFont="1" applyFill="1"/>
    <xf numFmtId="44" fontId="56" fillId="36" borderId="0" xfId="0" applyNumberFormat="1" applyFont="1" applyFill="1" applyAlignment="1">
      <alignment horizontal="center"/>
    </xf>
    <xf numFmtId="44" fontId="99" fillId="0" borderId="16" xfId="28" applyFont="1" applyBorder="1" applyAlignment="1">
      <alignment horizontal="center" vertical="center" wrapText="1"/>
    </xf>
    <xf numFmtId="3" fontId="1" fillId="40" borderId="0" xfId="0" applyNumberFormat="1" applyFont="1" applyFill="1" applyAlignment="1">
      <alignment horizontal="center"/>
    </xf>
    <xf numFmtId="0" fontId="29" fillId="40" borderId="0" xfId="0" applyFont="1" applyFill="1" applyAlignment="1">
      <alignment horizontal="right" vertical="center"/>
    </xf>
    <xf numFmtId="0" fontId="1" fillId="40" borderId="0" xfId="0" applyFont="1" applyFill="1"/>
    <xf numFmtId="6" fontId="34" fillId="40" borderId="0" xfId="0" applyNumberFormat="1" applyFont="1" applyFill="1" applyAlignment="1">
      <alignment horizontal="center"/>
    </xf>
    <xf numFmtId="0" fontId="1" fillId="40" borderId="0" xfId="0" applyFont="1" applyFill="1" applyAlignment="1">
      <alignment horizontal="center"/>
    </xf>
    <xf numFmtId="0" fontId="4" fillId="40" borderId="0" xfId="0" applyFont="1" applyFill="1"/>
    <xf numFmtId="0" fontId="29" fillId="0" borderId="0" xfId="0" applyFon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Alignment="1">
      <alignment horizontal="center"/>
    </xf>
    <xf numFmtId="14" fontId="5" fillId="0" borderId="0" xfId="0" applyNumberFormat="1" applyFont="1" applyAlignment="1">
      <alignment horizontal="center"/>
    </xf>
    <xf numFmtId="14" fontId="32" fillId="40" borderId="0" xfId="0" applyNumberFormat="1" applyFont="1" applyFill="1" applyAlignment="1">
      <alignment horizontal="center" vertical="center"/>
    </xf>
    <xf numFmtId="164" fontId="5" fillId="0" borderId="0" xfId="0" applyNumberFormat="1" applyFont="1" applyAlignment="1">
      <alignment horizontal="center" vertical="center"/>
    </xf>
    <xf numFmtId="0" fontId="101" fillId="40" borderId="0" xfId="0" applyFont="1" applyFill="1" applyAlignment="1">
      <alignment horizontal="center" vertical="top"/>
    </xf>
    <xf numFmtId="49" fontId="100" fillId="40" borderId="0" xfId="0" applyNumberFormat="1" applyFont="1" applyFill="1" applyAlignment="1">
      <alignment horizontal="center" vertical="center"/>
    </xf>
    <xf numFmtId="0" fontId="58" fillId="27" borderId="0" xfId="0" applyFont="1" applyFill="1" applyAlignment="1">
      <alignment horizontal="center" vertical="center"/>
    </xf>
    <xf numFmtId="0" fontId="58" fillId="27" borderId="0" xfId="0" applyFont="1" applyFill="1" applyAlignment="1">
      <alignment horizontal="left" vertical="center"/>
    </xf>
    <xf numFmtId="164" fontId="86" fillId="27" borderId="41" xfId="28" applyNumberFormat="1" applyFont="1" applyFill="1" applyBorder="1" applyAlignment="1">
      <alignment horizontal="center" vertical="center"/>
    </xf>
    <xf numFmtId="0" fontId="47" fillId="27" borderId="0" xfId="0" applyFont="1" applyFill="1" applyAlignment="1">
      <alignment horizontal="center" vertical="center"/>
    </xf>
    <xf numFmtId="0" fontId="66" fillId="27" borderId="0" xfId="0" applyFont="1" applyFill="1" applyAlignment="1">
      <alignment horizontal="right" vertical="center"/>
    </xf>
    <xf numFmtId="0" fontId="84" fillId="36" borderId="0" xfId="0" applyFont="1" applyFill="1" applyAlignment="1">
      <alignment horizontal="center" vertical="center"/>
    </xf>
    <xf numFmtId="0" fontId="58" fillId="40" borderId="0" xfId="0" applyFont="1" applyFill="1" applyAlignment="1">
      <alignment horizontal="left" vertical="center"/>
    </xf>
    <xf numFmtId="164" fontId="86" fillId="40" borderId="0" xfId="28" applyNumberFormat="1" applyFont="1" applyFill="1" applyAlignment="1">
      <alignment horizontal="center" vertical="center"/>
    </xf>
    <xf numFmtId="44" fontId="2" fillId="42" borderId="0" xfId="28" applyFont="1" applyFill="1" applyAlignment="1">
      <alignment horizontal="center" vertical="center"/>
    </xf>
    <xf numFmtId="44" fontId="2" fillId="0" borderId="0" xfId="28" applyFont="1" applyAlignment="1">
      <alignment horizontal="right" vertical="center"/>
    </xf>
    <xf numFmtId="44" fontId="2" fillId="26" borderId="0" xfId="28" applyFont="1" applyFill="1" applyAlignment="1">
      <alignment vertical="center"/>
    </xf>
    <xf numFmtId="8" fontId="56" fillId="27" borderId="0" xfId="0" applyNumberFormat="1" applyFont="1" applyFill="1"/>
    <xf numFmtId="164" fontId="0" fillId="26" borderId="0" xfId="0" applyNumberFormat="1" applyFill="1"/>
    <xf numFmtId="164" fontId="56" fillId="26" borderId="0" xfId="0" applyNumberFormat="1" applyFont="1" applyFill="1"/>
    <xf numFmtId="0" fontId="67" fillId="0" borderId="0" xfId="0" applyFont="1" applyAlignment="1">
      <alignment horizontal="center" vertical="center"/>
    </xf>
    <xf numFmtId="0" fontId="36" fillId="40" borderId="0" xfId="0" applyFont="1" applyFill="1" applyAlignment="1">
      <alignment horizontal="center" vertical="center"/>
    </xf>
    <xf numFmtId="0" fontId="35" fillId="40" borderId="0" xfId="0" applyFont="1" applyFill="1"/>
    <xf numFmtId="14" fontId="6" fillId="29" borderId="0" xfId="0" applyNumberFormat="1" applyFont="1" applyFill="1" applyAlignment="1">
      <alignment horizontal="center" vertical="center"/>
    </xf>
    <xf numFmtId="14" fontId="6" fillId="28" borderId="0" xfId="0" applyNumberFormat="1" applyFont="1" applyFill="1" applyAlignment="1">
      <alignment horizontal="center" vertical="center"/>
    </xf>
    <xf numFmtId="0" fontId="4" fillId="28" borderId="21" xfId="0" applyFont="1" applyFill="1" applyBorder="1" applyAlignment="1">
      <alignment horizontal="center"/>
    </xf>
    <xf numFmtId="0" fontId="1" fillId="0" borderId="18" xfId="0" applyFont="1" applyBorder="1" applyAlignment="1">
      <alignment horizontal="center"/>
    </xf>
    <xf numFmtId="0" fontId="5" fillId="29" borderId="0" xfId="0" applyFont="1" applyFill="1" applyAlignment="1">
      <alignment horizontal="center" vertical="center"/>
    </xf>
    <xf numFmtId="0" fontId="5" fillId="28" borderId="0" xfId="0" applyFont="1" applyFill="1" applyAlignment="1">
      <alignment horizontal="center" vertical="center"/>
    </xf>
    <xf numFmtId="44" fontId="4" fillId="28" borderId="20" xfId="28" applyFont="1" applyFill="1" applyBorder="1"/>
    <xf numFmtId="44" fontId="4" fillId="29" borderId="21" xfId="28" applyFont="1" applyFill="1" applyBorder="1"/>
    <xf numFmtId="44" fontId="4" fillId="28" borderId="21" xfId="28" applyFont="1" applyFill="1" applyBorder="1"/>
    <xf numFmtId="44" fontId="4" fillId="29" borderId="20" xfId="28" applyFont="1" applyFill="1" applyBorder="1"/>
    <xf numFmtId="0" fontId="4" fillId="28" borderId="20" xfId="0" applyFont="1" applyFill="1" applyBorder="1" applyAlignment="1">
      <alignment horizontal="center"/>
    </xf>
    <xf numFmtId="0" fontId="1" fillId="0" borderId="16" xfId="0" applyFont="1" applyBorder="1" applyAlignment="1">
      <alignment horizontal="center" wrapText="1"/>
    </xf>
    <xf numFmtId="0" fontId="1" fillId="0" borderId="16" xfId="0" applyFont="1" applyBorder="1" applyAlignment="1">
      <alignment horizontal="center" vertical="center" wrapText="1"/>
    </xf>
    <xf numFmtId="164" fontId="4" fillId="36" borderId="21" xfId="28" applyNumberFormat="1" applyFont="1" applyFill="1" applyBorder="1"/>
    <xf numFmtId="164" fontId="79" fillId="0" borderId="0" xfId="28" applyNumberFormat="1" applyFont="1" applyAlignment="1">
      <alignment horizontal="center" vertical="center"/>
    </xf>
    <xf numFmtId="164" fontId="69" fillId="0" borderId="0" xfId="0" applyNumberFormat="1" applyFont="1" applyAlignment="1">
      <alignment horizontal="center"/>
    </xf>
    <xf numFmtId="164" fontId="87" fillId="0" borderId="0" xfId="0" applyNumberFormat="1" applyFont="1" applyAlignment="1">
      <alignment horizontal="center"/>
    </xf>
    <xf numFmtId="0" fontId="85" fillId="29" borderId="0" xfId="0" applyFont="1" applyFill="1" applyAlignment="1">
      <alignment horizontal="center" vertical="center"/>
    </xf>
    <xf numFmtId="0" fontId="66" fillId="27" borderId="0" xfId="0" applyFont="1" applyFill="1" applyAlignment="1">
      <alignment horizontal="center"/>
    </xf>
    <xf numFmtId="0" fontId="105" fillId="36" borderId="0" xfId="0" applyFont="1" applyFill="1" applyAlignment="1">
      <alignment horizontal="center" vertical="center"/>
    </xf>
    <xf numFmtId="164" fontId="86" fillId="27" borderId="0" xfId="28" applyNumberFormat="1" applyFont="1" applyFill="1" applyAlignment="1">
      <alignment horizontal="center" vertical="center"/>
    </xf>
    <xf numFmtId="49" fontId="2" fillId="0" borderId="0" xfId="0" applyNumberFormat="1" applyFont="1" applyAlignment="1">
      <alignment horizontal="center"/>
    </xf>
    <xf numFmtId="14" fontId="2" fillId="0" borderId="0" xfId="0" applyNumberFormat="1" applyFont="1"/>
    <xf numFmtId="0" fontId="72" fillId="36" borderId="0" xfId="0" applyFont="1" applyFill="1" applyAlignment="1">
      <alignment horizontal="center"/>
    </xf>
    <xf numFmtId="0" fontId="93" fillId="27" borderId="0" xfId="0" applyFont="1" applyFill="1" applyAlignment="1">
      <alignment horizontal="center" vertical="center"/>
    </xf>
    <xf numFmtId="44" fontId="32" fillId="30" borderId="20" xfId="28" applyFont="1" applyFill="1" applyBorder="1"/>
    <xf numFmtId="0" fontId="47" fillId="0" borderId="0" xfId="0" applyFont="1" applyAlignment="1">
      <alignment horizontal="center" vertical="center"/>
    </xf>
    <xf numFmtId="0" fontId="85" fillId="0" borderId="0" xfId="0" applyFont="1" applyAlignment="1">
      <alignment horizontal="center" vertical="center"/>
    </xf>
    <xf numFmtId="164" fontId="86" fillId="0" borderId="0" xfId="28" applyNumberFormat="1" applyFont="1" applyAlignment="1">
      <alignment horizontal="center" vertical="center"/>
    </xf>
    <xf numFmtId="164" fontId="2" fillId="0" borderId="0" xfId="28" applyNumberFormat="1" applyFont="1" applyAlignment="1">
      <alignment horizontal="center" vertical="center"/>
    </xf>
    <xf numFmtId="0" fontId="105" fillId="44" borderId="0" xfId="0" applyFont="1" applyFill="1" applyAlignment="1">
      <alignment horizontal="center" vertical="center"/>
    </xf>
    <xf numFmtId="0" fontId="2" fillId="24" borderId="0" xfId="0" applyFont="1" applyFill="1"/>
    <xf numFmtId="0" fontId="27" fillId="24" borderId="0" xfId="0" applyFont="1" applyFill="1"/>
    <xf numFmtId="49" fontId="27" fillId="24" borderId="0" xfId="0" applyNumberFormat="1" applyFont="1" applyFill="1" applyAlignment="1">
      <alignment horizontal="center"/>
    </xf>
    <xf numFmtId="0" fontId="27" fillId="24" borderId="0" xfId="0" applyFont="1" applyFill="1" applyAlignment="1">
      <alignment horizontal="center"/>
    </xf>
    <xf numFmtId="14" fontId="27" fillId="24" borderId="0" xfId="0" applyNumberFormat="1" applyFont="1" applyFill="1" applyAlignment="1">
      <alignment horizontal="center"/>
    </xf>
    <xf numFmtId="9" fontId="27" fillId="24" borderId="0" xfId="47" applyFont="1" applyFill="1" applyAlignment="1">
      <alignment horizontal="center"/>
    </xf>
    <xf numFmtId="44" fontId="27" fillId="24" borderId="0" xfId="28" applyFont="1" applyFill="1" applyAlignment="1">
      <alignment horizontal="center"/>
    </xf>
    <xf numFmtId="164" fontId="27" fillId="0" borderId="0" xfId="28" applyNumberFormat="1" applyFont="1" applyAlignment="1">
      <alignment horizontal="center" vertical="center"/>
    </xf>
    <xf numFmtId="169" fontId="27" fillId="0" borderId="0" xfId="28" applyNumberFormat="1" applyFont="1" applyAlignment="1">
      <alignment horizontal="center" vertical="center"/>
    </xf>
    <xf numFmtId="0" fontId="2" fillId="0" borderId="0" xfId="0" applyFont="1" applyAlignment="1">
      <alignment horizontal="center" vertical="center"/>
    </xf>
    <xf numFmtId="14" fontId="4" fillId="29" borderId="0" xfId="0" applyNumberFormat="1" applyFont="1" applyFill="1" applyAlignment="1">
      <alignment horizontal="center" vertical="center"/>
    </xf>
    <xf numFmtId="14" fontId="4" fillId="28" borderId="0" xfId="0" applyNumberFormat="1" applyFont="1" applyFill="1" applyAlignment="1">
      <alignment horizontal="center" vertical="center"/>
    </xf>
    <xf numFmtId="0" fontId="4" fillId="41" borderId="16" xfId="0" applyFont="1" applyFill="1" applyBorder="1" applyAlignment="1">
      <alignment horizontal="center" vertical="center" wrapText="1"/>
    </xf>
    <xf numFmtId="44" fontId="29" fillId="0" borderId="20" xfId="28" applyFont="1" applyBorder="1"/>
    <xf numFmtId="6" fontId="7" fillId="41" borderId="16" xfId="28" applyNumberFormat="1" applyFont="1" applyFill="1" applyBorder="1" applyAlignment="1">
      <alignment horizontal="center" vertical="center" wrapText="1"/>
    </xf>
    <xf numFmtId="6" fontId="7" fillId="28" borderId="16" xfId="28" applyNumberFormat="1" applyFont="1" applyFill="1" applyBorder="1" applyAlignment="1">
      <alignment horizontal="center" vertical="center" wrapText="1"/>
    </xf>
    <xf numFmtId="0" fontId="1" fillId="43" borderId="0" xfId="0" applyFont="1" applyFill="1"/>
    <xf numFmtId="44" fontId="2" fillId="28" borderId="41" xfId="0" applyNumberFormat="1" applyFont="1" applyFill="1" applyBorder="1" applyAlignment="1">
      <alignment horizontal="center" vertical="center"/>
    </xf>
    <xf numFmtId="0" fontId="1" fillId="44" borderId="0" xfId="0" applyFont="1" applyFill="1"/>
    <xf numFmtId="0" fontId="29" fillId="28" borderId="0" xfId="0" applyFont="1" applyFill="1" applyAlignment="1">
      <alignment horizontal="right" vertical="center"/>
    </xf>
    <xf numFmtId="0" fontId="58" fillId="0" borderId="0" xfId="0" applyFont="1" applyAlignment="1">
      <alignment horizontal="left" vertical="center"/>
    </xf>
    <xf numFmtId="0" fontId="58" fillId="0" borderId="0" xfId="0" applyFont="1" applyAlignment="1">
      <alignment horizontal="center" vertical="center"/>
    </xf>
    <xf numFmtId="44" fontId="2" fillId="0" borderId="0" xfId="0" applyNumberFormat="1" applyFont="1" applyAlignment="1">
      <alignment horizontal="center" vertical="center"/>
    </xf>
    <xf numFmtId="164" fontId="80" fillId="0" borderId="0" xfId="0" applyNumberFormat="1" applyFont="1" applyAlignment="1">
      <alignment horizontal="center"/>
    </xf>
    <xf numFmtId="0" fontId="105" fillId="27" borderId="0" xfId="0" applyFont="1" applyFill="1" applyAlignment="1">
      <alignment horizontal="center" vertical="center"/>
    </xf>
    <xf numFmtId="0" fontId="101" fillId="27" borderId="0" xfId="0" applyFont="1" applyFill="1" applyAlignment="1">
      <alignment horizontal="center" vertical="center"/>
    </xf>
    <xf numFmtId="0" fontId="92" fillId="30" borderId="39" xfId="0" applyFont="1" applyFill="1" applyBorder="1" applyAlignment="1">
      <alignment horizontal="center"/>
    </xf>
    <xf numFmtId="0" fontId="92" fillId="30" borderId="35" xfId="0" applyFont="1" applyFill="1" applyBorder="1" applyAlignment="1">
      <alignment horizontal="center"/>
    </xf>
    <xf numFmtId="0" fontId="50" fillId="30" borderId="35" xfId="0" applyFont="1" applyFill="1" applyBorder="1" applyAlignment="1">
      <alignment horizontal="center"/>
    </xf>
    <xf numFmtId="0" fontId="50" fillId="30" borderId="0" xfId="0" applyFont="1" applyFill="1" applyAlignment="1">
      <alignment horizontal="center"/>
    </xf>
    <xf numFmtId="0" fontId="50" fillId="30" borderId="33" xfId="0" applyFont="1" applyFill="1" applyBorder="1" applyAlignment="1">
      <alignment horizontal="center"/>
    </xf>
    <xf numFmtId="0" fontId="46" fillId="30" borderId="0" xfId="0" applyFont="1" applyFill="1" applyAlignment="1">
      <alignment horizontal="center"/>
    </xf>
    <xf numFmtId="0" fontId="32" fillId="30" borderId="36" xfId="0" applyFont="1" applyFill="1" applyBorder="1" applyAlignment="1">
      <alignment horizontal="right" vertical="center"/>
    </xf>
    <xf numFmtId="0" fontId="32" fillId="30" borderId="0" xfId="0" applyFont="1" applyFill="1" applyAlignment="1">
      <alignment horizontal="right" vertical="center"/>
    </xf>
    <xf numFmtId="164" fontId="86" fillId="40" borderId="16" xfId="28" applyNumberFormat="1" applyFont="1" applyFill="1" applyBorder="1" applyAlignment="1">
      <alignment horizontal="center" vertical="center"/>
    </xf>
    <xf numFmtId="0" fontId="32" fillId="30" borderId="0" xfId="0" applyFont="1" applyFill="1" applyAlignment="1">
      <alignment horizontal="center" vertical="center"/>
    </xf>
    <xf numFmtId="164" fontId="46" fillId="0" borderId="44" xfId="28" applyNumberFormat="1" applyFont="1" applyBorder="1" applyAlignment="1">
      <alignment horizontal="center" vertical="center"/>
    </xf>
    <xf numFmtId="0" fontId="46" fillId="30" borderId="36" xfId="0" applyFont="1" applyFill="1" applyBorder="1" applyAlignment="1">
      <alignment horizontal="center" vertical="center"/>
    </xf>
    <xf numFmtId="8" fontId="46" fillId="30" borderId="0" xfId="0" applyNumberFormat="1" applyFont="1" applyFill="1" applyAlignment="1">
      <alignment horizontal="center"/>
    </xf>
    <xf numFmtId="0" fontId="4" fillId="30" borderId="36" xfId="0" applyFont="1" applyFill="1" applyBorder="1" applyAlignment="1">
      <alignment horizontal="right"/>
    </xf>
    <xf numFmtId="0" fontId="4" fillId="30" borderId="0" xfId="0" applyFont="1" applyFill="1" applyAlignment="1">
      <alignment horizontal="right"/>
    </xf>
    <xf numFmtId="0" fontId="0" fillId="30" borderId="36" xfId="0" applyFill="1" applyBorder="1" applyAlignment="1">
      <alignment horizontal="center"/>
    </xf>
    <xf numFmtId="0" fontId="0" fillId="30" borderId="0" xfId="0" applyFill="1" applyAlignment="1">
      <alignment horizontal="center"/>
    </xf>
    <xf numFmtId="0" fontId="1" fillId="30" borderId="36" xfId="0" applyFont="1" applyFill="1" applyBorder="1" applyAlignment="1">
      <alignment horizontal="center" vertical="center"/>
    </xf>
    <xf numFmtId="0" fontId="33" fillId="30" borderId="0" xfId="0" applyFont="1" applyFill="1" applyAlignment="1">
      <alignment horizontal="right" vertical="center"/>
    </xf>
    <xf numFmtId="0" fontId="0" fillId="30" borderId="36" xfId="0" applyFill="1" applyBorder="1"/>
    <xf numFmtId="0" fontId="108" fillId="30" borderId="36" xfId="0" applyFont="1" applyFill="1" applyBorder="1" applyAlignment="1">
      <alignment horizontal="right"/>
    </xf>
    <xf numFmtId="0" fontId="108" fillId="30" borderId="0" xfId="0" applyFont="1" applyFill="1" applyAlignment="1">
      <alignment horizontal="right"/>
    </xf>
    <xf numFmtId="0" fontId="4" fillId="30" borderId="36" xfId="0" applyFont="1" applyFill="1" applyBorder="1" applyAlignment="1">
      <alignment horizontal="center" vertical="center"/>
    </xf>
    <xf numFmtId="0" fontId="4" fillId="30" borderId="0" xfId="0" applyFont="1" applyFill="1" applyAlignment="1">
      <alignment horizontal="center" vertical="center"/>
    </xf>
    <xf numFmtId="0" fontId="100" fillId="30" borderId="37" xfId="0" applyFont="1" applyFill="1" applyBorder="1" applyAlignment="1">
      <alignment horizontal="right" vertical="center"/>
    </xf>
    <xf numFmtId="0" fontId="100" fillId="30" borderId="41" xfId="0" applyFont="1" applyFill="1" applyBorder="1" applyAlignment="1">
      <alignment horizontal="right" vertical="center"/>
    </xf>
    <xf numFmtId="164" fontId="6" fillId="30" borderId="41" xfId="0" applyNumberFormat="1" applyFont="1" applyFill="1" applyBorder="1" applyAlignment="1">
      <alignment horizontal="center" vertical="center"/>
    </xf>
    <xf numFmtId="0" fontId="50" fillId="30" borderId="41" xfId="0" applyFont="1" applyFill="1" applyBorder="1" applyAlignment="1">
      <alignment horizontal="center"/>
    </xf>
    <xf numFmtId="0" fontId="50" fillId="30" borderId="38" xfId="0" applyFont="1" applyFill="1" applyBorder="1" applyAlignment="1">
      <alignment horizontal="center"/>
    </xf>
    <xf numFmtId="164" fontId="2" fillId="30" borderId="0" xfId="0" applyNumberFormat="1" applyFont="1" applyFill="1" applyAlignment="1">
      <alignment horizontal="center" vertical="center"/>
    </xf>
    <xf numFmtId="164" fontId="109" fillId="30" borderId="0" xfId="0" applyNumberFormat="1" applyFont="1" applyFill="1" applyAlignment="1">
      <alignment horizontal="center" vertical="center"/>
    </xf>
    <xf numFmtId="164" fontId="110" fillId="30" borderId="0" xfId="0" applyNumberFormat="1" applyFont="1" applyFill="1" applyAlignment="1">
      <alignment horizontal="center" vertical="center"/>
    </xf>
    <xf numFmtId="164" fontId="5" fillId="30" borderId="0" xfId="0" applyNumberFormat="1" applyFont="1" applyFill="1" applyAlignment="1">
      <alignment horizontal="center" vertical="center"/>
    </xf>
    <xf numFmtId="0" fontId="0" fillId="40" borderId="0" xfId="0" applyFill="1"/>
    <xf numFmtId="9" fontId="1" fillId="0" borderId="0" xfId="0" applyNumberFormat="1" applyFont="1"/>
    <xf numFmtId="170" fontId="5" fillId="0" borderId="0" xfId="0" applyNumberFormat="1" applyFont="1" applyAlignment="1">
      <alignment horizontal="center" vertical="center"/>
    </xf>
    <xf numFmtId="0" fontId="111" fillId="29" borderId="0" xfId="0" applyFont="1" applyFill="1" applyAlignment="1">
      <alignment horizontal="center"/>
    </xf>
    <xf numFmtId="0" fontId="111" fillId="28" borderId="0" xfId="0" applyFont="1" applyFill="1" applyAlignment="1">
      <alignment horizontal="center"/>
    </xf>
    <xf numFmtId="0" fontId="111" fillId="29" borderId="0" xfId="0" applyFont="1" applyFill="1" applyAlignment="1">
      <alignment horizontal="center" vertical="center"/>
    </xf>
    <xf numFmtId="0" fontId="111" fillId="28" borderId="0" xfId="0" applyFont="1" applyFill="1" applyAlignment="1">
      <alignment horizontal="center" vertical="center"/>
    </xf>
    <xf numFmtId="0" fontId="93" fillId="30" borderId="16" xfId="0" applyFont="1" applyFill="1" applyBorder="1" applyAlignment="1">
      <alignment horizontal="center"/>
    </xf>
    <xf numFmtId="0" fontId="27" fillId="0" borderId="0" xfId="0" applyFont="1" applyAlignment="1">
      <alignment horizontal="left" vertical="center"/>
    </xf>
    <xf numFmtId="0" fontId="1" fillId="28" borderId="0" xfId="0" applyFont="1" applyFill="1"/>
    <xf numFmtId="6" fontId="34" fillId="28" borderId="0" xfId="0" applyNumberFormat="1" applyFont="1" applyFill="1" applyAlignment="1">
      <alignment horizontal="center"/>
    </xf>
    <xf numFmtId="0" fontId="1" fillId="29" borderId="0" xfId="0" applyFont="1" applyFill="1"/>
    <xf numFmtId="6" fontId="34" fillId="29" borderId="0" xfId="0" applyNumberFormat="1" applyFont="1" applyFill="1" applyAlignment="1">
      <alignment horizontal="center"/>
    </xf>
    <xf numFmtId="0" fontId="4" fillId="40" borderId="0" xfId="0" applyFont="1" applyFill="1" applyAlignment="1">
      <alignment horizontal="center"/>
    </xf>
    <xf numFmtId="0" fontId="29" fillId="44" borderId="0" xfId="0" applyFont="1" applyFill="1" applyAlignment="1">
      <alignment horizontal="right" vertical="center"/>
    </xf>
    <xf numFmtId="6" fontId="34" fillId="44" borderId="0" xfId="0" applyNumberFormat="1" applyFont="1" applyFill="1" applyAlignment="1">
      <alignment horizontal="center"/>
    </xf>
    <xf numFmtId="8" fontId="32" fillId="40" borderId="0" xfId="0" applyNumberFormat="1" applyFont="1" applyFill="1" applyAlignment="1">
      <alignment horizontal="center" vertical="center"/>
    </xf>
    <xf numFmtId="169" fontId="2" fillId="0" borderId="0" xfId="28" applyNumberFormat="1" applyFont="1" applyAlignment="1">
      <alignment horizontal="right" vertical="center"/>
    </xf>
    <xf numFmtId="14" fontId="43" fillId="28" borderId="0" xfId="0" applyNumberFormat="1" applyFont="1" applyFill="1" applyAlignment="1">
      <alignment horizontal="center" vertical="center"/>
    </xf>
    <xf numFmtId="44" fontId="99" fillId="28" borderId="16" xfId="28" applyFont="1" applyFill="1" applyBorder="1" applyAlignment="1">
      <alignment horizontal="center" vertical="center" wrapText="1"/>
    </xf>
    <xf numFmtId="0" fontId="4" fillId="45" borderId="20" xfId="0" applyFont="1" applyFill="1" applyBorder="1" applyAlignment="1">
      <alignment horizontal="center"/>
    </xf>
    <xf numFmtId="6" fontId="34" fillId="43" borderId="0" xfId="0" applyNumberFormat="1" applyFont="1" applyFill="1" applyAlignment="1">
      <alignment horizontal="center"/>
    </xf>
    <xf numFmtId="15" fontId="2" fillId="0" borderId="0" xfId="28" applyNumberFormat="1" applyFont="1" applyAlignment="1">
      <alignment horizontal="center" vertical="center"/>
    </xf>
    <xf numFmtId="2" fontId="6" fillId="0" borderId="0" xfId="28" applyNumberFormat="1" applyFont="1" applyAlignment="1">
      <alignment vertical="center"/>
    </xf>
    <xf numFmtId="44" fontId="99" fillId="29" borderId="16" xfId="28" applyFont="1" applyFill="1" applyBorder="1" applyAlignment="1">
      <alignment horizontal="center" vertical="center" wrapText="1"/>
    </xf>
    <xf numFmtId="9" fontId="27" fillId="0" borderId="0" xfId="47" applyFont="1" applyAlignment="1">
      <alignment horizontal="center" vertical="center"/>
    </xf>
    <xf numFmtId="44" fontId="75" fillId="36" borderId="0" xfId="28" applyFont="1" applyFill="1" applyAlignment="1">
      <alignment horizontal="center" vertical="center"/>
    </xf>
    <xf numFmtId="44" fontId="75" fillId="36" borderId="0" xfId="0" applyNumberFormat="1" applyFont="1" applyFill="1" applyAlignment="1">
      <alignment horizontal="center" vertical="center"/>
    </xf>
    <xf numFmtId="9" fontId="75" fillId="36" borderId="0" xfId="47" applyFont="1" applyFill="1" applyAlignment="1">
      <alignment horizontal="center" vertical="center"/>
    </xf>
    <xf numFmtId="44" fontId="1" fillId="29" borderId="21" xfId="28" applyFill="1" applyBorder="1"/>
    <xf numFmtId="0" fontId="29" fillId="29" borderId="0" xfId="0" applyFont="1" applyFill="1" applyAlignment="1">
      <alignment horizontal="right" vertical="center"/>
    </xf>
    <xf numFmtId="0" fontId="57" fillId="37" borderId="0" xfId="0" applyFont="1" applyFill="1" applyAlignment="1">
      <alignment horizontal="center"/>
    </xf>
    <xf numFmtId="44" fontId="56" fillId="37" borderId="0" xfId="0" applyNumberFormat="1" applyFont="1" applyFill="1" applyAlignment="1">
      <alignment horizontal="center"/>
    </xf>
    <xf numFmtId="0" fontId="0" fillId="37" borderId="0" xfId="0" applyFill="1"/>
    <xf numFmtId="9" fontId="75" fillId="36" borderId="0" xfId="47" applyFont="1" applyFill="1" applyAlignment="1">
      <alignment horizontal="center"/>
    </xf>
    <xf numFmtId="0" fontId="27" fillId="36" borderId="0" xfId="0" applyFont="1" applyFill="1" applyAlignment="1">
      <alignment horizontal="left" vertical="center"/>
    </xf>
    <xf numFmtId="0" fontId="27" fillId="36" borderId="0" xfId="0" applyFont="1" applyFill="1" applyAlignment="1">
      <alignment horizontal="center" vertical="center"/>
    </xf>
    <xf numFmtId="0" fontId="27" fillId="36" borderId="0" xfId="0" applyFont="1" applyFill="1" applyAlignment="1">
      <alignment vertical="center"/>
    </xf>
    <xf numFmtId="44" fontId="2" fillId="36" borderId="0" xfId="28" applyFont="1" applyFill="1" applyAlignment="1">
      <alignment vertical="center"/>
    </xf>
    <xf numFmtId="44" fontId="2" fillId="36" borderId="0" xfId="28" applyFont="1" applyFill="1" applyAlignment="1">
      <alignment horizontal="center" vertical="center"/>
    </xf>
    <xf numFmtId="44" fontId="27" fillId="36" borderId="0" xfId="28" applyFont="1" applyFill="1" applyAlignment="1">
      <alignment horizontal="center" vertical="center"/>
    </xf>
    <xf numFmtId="0" fontId="0" fillId="43" borderId="0" xfId="0" applyFill="1"/>
    <xf numFmtId="0" fontId="35" fillId="43" borderId="0" xfId="0" applyFont="1" applyFill="1"/>
    <xf numFmtId="49" fontId="100" fillId="43" borderId="0" xfId="0" applyNumberFormat="1" applyFont="1" applyFill="1" applyAlignment="1">
      <alignment horizontal="center" vertical="center"/>
    </xf>
    <xf numFmtId="8" fontId="4" fillId="43" borderId="0" xfId="0" applyNumberFormat="1" applyFont="1" applyFill="1" applyAlignment="1">
      <alignment horizontal="center" vertical="center"/>
    </xf>
    <xf numFmtId="14" fontId="4" fillId="43" borderId="0" xfId="0" applyNumberFormat="1" applyFont="1" applyFill="1" applyAlignment="1">
      <alignment horizontal="center" vertical="center"/>
    </xf>
    <xf numFmtId="0" fontId="111" fillId="43" borderId="0" xfId="0" applyFont="1" applyFill="1" applyAlignment="1">
      <alignment horizontal="center" vertical="top"/>
    </xf>
    <xf numFmtId="0" fontId="36" fillId="43" borderId="0" xfId="0" applyFont="1" applyFill="1" applyAlignment="1">
      <alignment horizontal="center" vertical="center"/>
    </xf>
    <xf numFmtId="0" fontId="1" fillId="43" borderId="0" xfId="0" applyFont="1" applyFill="1" applyAlignment="1">
      <alignment horizontal="center"/>
    </xf>
    <xf numFmtId="49" fontId="76" fillId="43" borderId="0" xfId="0" applyNumberFormat="1" applyFont="1" applyFill="1" applyAlignment="1">
      <alignment horizontal="center" vertical="center"/>
    </xf>
    <xf numFmtId="0" fontId="4" fillId="29" borderId="0" xfId="0" applyFont="1" applyFill="1" applyAlignment="1">
      <alignment horizontal="right" vertical="center"/>
    </xf>
    <xf numFmtId="0" fontId="4" fillId="28" borderId="0" xfId="0" applyFont="1" applyFill="1" applyAlignment="1">
      <alignment horizontal="right" vertical="center"/>
    </xf>
    <xf numFmtId="9" fontId="75" fillId="43" borderId="0" xfId="47" applyFont="1" applyFill="1" applyAlignment="1">
      <alignment horizontal="center" vertical="center"/>
    </xf>
    <xf numFmtId="44" fontId="75" fillId="43" borderId="0" xfId="28" applyFont="1" applyFill="1" applyAlignment="1">
      <alignment horizontal="center" vertical="center"/>
    </xf>
    <xf numFmtId="14" fontId="2" fillId="0" borderId="0" xfId="0" applyNumberFormat="1" applyFont="1" applyAlignment="1">
      <alignment horizontal="center" vertical="center"/>
    </xf>
    <xf numFmtId="44" fontId="2" fillId="43" borderId="0" xfId="28" applyFont="1" applyFill="1" applyAlignment="1">
      <alignment horizontal="center" vertical="center"/>
    </xf>
    <xf numFmtId="44" fontId="75" fillId="0" borderId="0" xfId="28" applyFont="1" applyAlignment="1">
      <alignment horizontal="center" vertical="center"/>
    </xf>
    <xf numFmtId="0" fontId="30" fillId="28" borderId="16" xfId="0" applyFont="1" applyFill="1" applyBorder="1" applyAlignment="1">
      <alignment horizontal="center" vertical="center" wrapText="1"/>
    </xf>
    <xf numFmtId="0" fontId="30" fillId="29" borderId="16" xfId="0" applyFont="1" applyFill="1" applyBorder="1" applyAlignment="1">
      <alignment horizontal="center" vertical="center" wrapText="1"/>
    </xf>
    <xf numFmtId="44" fontId="4" fillId="43" borderId="21" xfId="28" applyFont="1" applyFill="1" applyBorder="1"/>
    <xf numFmtId="44" fontId="4" fillId="44" borderId="21" xfId="28" applyFont="1" applyFill="1" applyBorder="1"/>
    <xf numFmtId="0" fontId="1" fillId="28" borderId="20" xfId="0" applyFont="1" applyFill="1" applyBorder="1" applyAlignment="1">
      <alignment horizontal="center"/>
    </xf>
    <xf numFmtId="44" fontId="75" fillId="44" borderId="0" xfId="28" applyFont="1" applyFill="1" applyAlignment="1">
      <alignment horizontal="center" vertical="center"/>
    </xf>
    <xf numFmtId="9" fontId="75" fillId="44" borderId="0" xfId="47" applyFont="1" applyFill="1" applyAlignment="1">
      <alignment horizontal="center" vertical="center"/>
    </xf>
    <xf numFmtId="44" fontId="2" fillId="44" borderId="0" xfId="28" applyFont="1" applyFill="1" applyAlignment="1">
      <alignment horizontal="center" vertical="center"/>
    </xf>
    <xf numFmtId="0" fontId="4" fillId="44" borderId="0" xfId="0" applyFont="1" applyFill="1" applyAlignment="1">
      <alignment horizontal="center"/>
    </xf>
    <xf numFmtId="0" fontId="35" fillId="44" borderId="0" xfId="0" applyFont="1" applyFill="1"/>
    <xf numFmtId="8" fontId="4" fillId="44" borderId="0" xfId="0" applyNumberFormat="1" applyFont="1" applyFill="1" applyAlignment="1">
      <alignment horizontal="center" vertical="center"/>
    </xf>
    <xf numFmtId="49" fontId="100" fillId="44" borderId="0" xfId="0" applyNumberFormat="1" applyFont="1" applyFill="1" applyAlignment="1">
      <alignment horizontal="center" vertical="center"/>
    </xf>
    <xf numFmtId="14" fontId="4" fillId="44" borderId="0" xfId="0" applyNumberFormat="1" applyFont="1" applyFill="1" applyAlignment="1">
      <alignment horizontal="center" vertical="center"/>
    </xf>
    <xf numFmtId="0" fontId="111" fillId="44" borderId="0" xfId="0" applyFont="1" applyFill="1" applyAlignment="1">
      <alignment horizontal="center" vertical="top"/>
    </xf>
    <xf numFmtId="164" fontId="2" fillId="44" borderId="41" xfId="28" applyNumberFormat="1" applyFont="1" applyFill="1" applyBorder="1" applyAlignment="1">
      <alignment horizontal="center" vertical="center"/>
    </xf>
    <xf numFmtId="44" fontId="86" fillId="42" borderId="0" xfId="28" applyFont="1" applyFill="1" applyAlignment="1">
      <alignment horizontal="center" vertical="center"/>
    </xf>
    <xf numFmtId="44" fontId="86" fillId="27" borderId="0" xfId="28" applyFont="1" applyFill="1" applyAlignment="1">
      <alignment vertical="center"/>
    </xf>
    <xf numFmtId="44" fontId="86" fillId="27" borderId="0" xfId="28" applyFont="1" applyFill="1" applyAlignment="1">
      <alignment horizontal="center" vertical="center"/>
    </xf>
    <xf numFmtId="44" fontId="2" fillId="43" borderId="0" xfId="0" applyNumberFormat="1" applyFont="1" applyFill="1" applyAlignment="1">
      <alignment horizontal="center" vertical="center"/>
    </xf>
    <xf numFmtId="44" fontId="2" fillId="44" borderId="0" xfId="0" applyNumberFormat="1" applyFont="1" applyFill="1" applyAlignment="1">
      <alignment horizontal="center" vertical="center"/>
    </xf>
    <xf numFmtId="0" fontId="35" fillId="47" borderId="0" xfId="0" applyFont="1" applyFill="1"/>
    <xf numFmtId="8" fontId="4" fillId="47" borderId="0" xfId="0" applyNumberFormat="1" applyFont="1" applyFill="1" applyAlignment="1">
      <alignment horizontal="center" vertical="center"/>
    </xf>
    <xf numFmtId="49" fontId="100" fillId="47" borderId="0" xfId="0" applyNumberFormat="1" applyFont="1" applyFill="1" applyAlignment="1">
      <alignment horizontal="center" vertical="center"/>
    </xf>
    <xf numFmtId="14" fontId="4" fillId="47" borderId="0" xfId="0" applyNumberFormat="1" applyFont="1" applyFill="1" applyAlignment="1">
      <alignment horizontal="center" vertical="center"/>
    </xf>
    <xf numFmtId="0" fontId="111" fillId="47" borderId="0" xfId="0" applyFont="1" applyFill="1" applyAlignment="1">
      <alignment horizontal="center" vertical="top"/>
    </xf>
    <xf numFmtId="0" fontId="29" fillId="47" borderId="0" xfId="0" applyFont="1" applyFill="1" applyAlignment="1">
      <alignment horizontal="right" vertical="center"/>
    </xf>
    <xf numFmtId="6" fontId="34" fillId="47" borderId="0" xfId="0" applyNumberFormat="1" applyFont="1" applyFill="1" applyAlignment="1">
      <alignment horizontal="center"/>
    </xf>
    <xf numFmtId="0" fontId="1" fillId="47" borderId="0" xfId="0" applyFont="1" applyFill="1"/>
    <xf numFmtId="44" fontId="75" fillId="47" borderId="0" xfId="28" applyFont="1" applyFill="1" applyAlignment="1">
      <alignment horizontal="center" vertical="center"/>
    </xf>
    <xf numFmtId="9" fontId="75" fillId="47" borderId="0" xfId="47" applyFont="1" applyFill="1" applyAlignment="1">
      <alignment horizontal="center" vertical="center"/>
    </xf>
    <xf numFmtId="44" fontId="2" fillId="47" borderId="0" xfId="28" applyFont="1" applyFill="1" applyAlignment="1">
      <alignment horizontal="center" vertical="center"/>
    </xf>
    <xf numFmtId="44" fontId="2" fillId="47" borderId="0" xfId="0" applyNumberFormat="1" applyFont="1" applyFill="1" applyAlignment="1">
      <alignment horizontal="center" vertical="center"/>
    </xf>
    <xf numFmtId="44" fontId="4" fillId="47" borderId="21" xfId="28" applyFont="1" applyFill="1" applyBorder="1"/>
    <xf numFmtId="0" fontId="1" fillId="0" borderId="46" xfId="0" applyFont="1" applyBorder="1" applyAlignment="1">
      <alignment horizontal="center"/>
    </xf>
    <xf numFmtId="0" fontId="33" fillId="30" borderId="0" xfId="0" applyFont="1" applyFill="1" applyAlignment="1">
      <alignment horizontal="right"/>
    </xf>
    <xf numFmtId="164" fontId="111" fillId="26" borderId="16" xfId="0" applyNumberFormat="1" applyFont="1" applyFill="1" applyBorder="1" applyAlignment="1">
      <alignment horizontal="center" vertical="center"/>
    </xf>
    <xf numFmtId="0" fontId="70" fillId="30" borderId="0" xfId="0" applyFont="1" applyFill="1" applyAlignment="1">
      <alignment horizontal="center"/>
    </xf>
    <xf numFmtId="164" fontId="101" fillId="49" borderId="0" xfId="28" applyNumberFormat="1" applyFont="1" applyFill="1" applyAlignment="1">
      <alignment horizontal="center" vertical="center"/>
    </xf>
    <xf numFmtId="164" fontId="101" fillId="30" borderId="0" xfId="28" applyNumberFormat="1" applyFont="1" applyFill="1" applyAlignment="1">
      <alignment horizontal="center" vertical="center"/>
    </xf>
    <xf numFmtId="164" fontId="77" fillId="30" borderId="0" xfId="28" applyNumberFormat="1" applyFont="1" applyFill="1" applyAlignment="1">
      <alignment horizontal="center" vertical="center"/>
    </xf>
    <xf numFmtId="0" fontId="92" fillId="30" borderId="0" xfId="0" applyFont="1" applyFill="1" applyAlignment="1">
      <alignment horizontal="center"/>
    </xf>
    <xf numFmtId="0" fontId="117" fillId="30" borderId="0" xfId="0" applyFont="1" applyFill="1" applyAlignment="1">
      <alignment horizontal="center"/>
    </xf>
    <xf numFmtId="0" fontId="43" fillId="30" borderId="0" xfId="0" applyFont="1" applyFill="1" applyAlignment="1">
      <alignment horizontal="center" vertical="center"/>
    </xf>
    <xf numFmtId="0" fontId="4" fillId="41" borderId="0" xfId="0" applyFont="1" applyFill="1" applyAlignment="1">
      <alignment horizontal="center" vertical="center"/>
    </xf>
    <xf numFmtId="164" fontId="46" fillId="26" borderId="0" xfId="28" applyNumberFormat="1" applyFont="1" applyFill="1" applyAlignment="1">
      <alignment horizontal="center" vertical="center"/>
    </xf>
    <xf numFmtId="164" fontId="49" fillId="41" borderId="0" xfId="28" applyNumberFormat="1" applyFont="1" applyFill="1" applyAlignment="1">
      <alignment horizontal="center" vertical="center"/>
    </xf>
    <xf numFmtId="0" fontId="124" fillId="41" borderId="0" xfId="0" applyFont="1" applyFill="1" applyAlignment="1">
      <alignment horizontal="center"/>
    </xf>
    <xf numFmtId="0" fontId="124" fillId="30" borderId="0" xfId="0" applyFont="1" applyFill="1" applyAlignment="1">
      <alignment horizontal="center"/>
    </xf>
    <xf numFmtId="0" fontId="4" fillId="48" borderId="0" xfId="0" applyFont="1" applyFill="1" applyAlignment="1">
      <alignment horizontal="center" vertical="center"/>
    </xf>
    <xf numFmtId="8" fontId="49" fillId="48" borderId="0" xfId="0" applyNumberFormat="1" applyFont="1" applyFill="1" applyAlignment="1">
      <alignment horizontal="center"/>
    </xf>
    <xf numFmtId="0" fontId="46" fillId="48" borderId="0" xfId="0" applyFont="1" applyFill="1" applyAlignment="1">
      <alignment horizontal="center"/>
    </xf>
    <xf numFmtId="0" fontId="58" fillId="30" borderId="0" xfId="0" applyFont="1" applyFill="1" applyAlignment="1">
      <alignment horizontal="center" vertical="center"/>
    </xf>
    <xf numFmtId="0" fontId="49" fillId="48" borderId="11" xfId="0" applyFont="1" applyFill="1" applyBorder="1" applyAlignment="1">
      <alignment horizontal="center" vertical="center"/>
    </xf>
    <xf numFmtId="0" fontId="67" fillId="30" borderId="10" xfId="0" applyFont="1" applyFill="1" applyBorder="1" applyAlignment="1">
      <alignment horizontal="center" vertical="center"/>
    </xf>
    <xf numFmtId="0" fontId="0" fillId="30" borderId="33" xfId="0" applyFill="1" applyBorder="1"/>
    <xf numFmtId="0" fontId="0" fillId="30" borderId="44" xfId="0" applyFill="1" applyBorder="1"/>
    <xf numFmtId="164" fontId="46" fillId="26" borderId="0" xfId="0" applyNumberFormat="1" applyFont="1" applyFill="1"/>
    <xf numFmtId="164" fontId="126" fillId="26" borderId="0" xfId="0" applyNumberFormat="1" applyFont="1" applyFill="1" applyAlignment="1">
      <alignment horizontal="center" vertical="center"/>
    </xf>
    <xf numFmtId="0" fontId="0" fillId="26" borderId="10" xfId="0" applyFill="1" applyBorder="1" applyAlignment="1">
      <alignment horizontal="center" vertical="center"/>
    </xf>
    <xf numFmtId="164" fontId="0" fillId="41" borderId="12" xfId="0" applyNumberFormat="1" applyFill="1" applyBorder="1" applyAlignment="1">
      <alignment horizontal="center" vertical="center"/>
    </xf>
    <xf numFmtId="164" fontId="0" fillId="48" borderId="47" xfId="0" applyNumberFormat="1" applyFill="1" applyBorder="1" applyAlignment="1">
      <alignment horizontal="center" vertical="center"/>
    </xf>
    <xf numFmtId="164" fontId="0" fillId="29" borderId="48" xfId="0" applyNumberFormat="1" applyFill="1" applyBorder="1" applyAlignment="1">
      <alignment horizontal="center" vertical="center"/>
    </xf>
    <xf numFmtId="164" fontId="0" fillId="41" borderId="49" xfId="0" applyNumberFormat="1" applyFill="1" applyBorder="1" applyAlignment="1">
      <alignment horizontal="center" vertical="center"/>
    </xf>
    <xf numFmtId="164" fontId="0" fillId="48" borderId="50" xfId="0" applyNumberFormat="1" applyFill="1" applyBorder="1" applyAlignment="1">
      <alignment horizontal="center" vertical="center"/>
    </xf>
    <xf numFmtId="164" fontId="0" fillId="29" borderId="51" xfId="0" applyNumberFormat="1" applyFill="1" applyBorder="1" applyAlignment="1">
      <alignment horizontal="center" vertical="center"/>
    </xf>
    <xf numFmtId="0" fontId="0" fillId="30" borderId="0" xfId="0" applyFill="1" applyAlignment="1">
      <alignment horizontal="center" vertical="center"/>
    </xf>
    <xf numFmtId="0" fontId="49" fillId="29" borderId="11" xfId="0" applyFont="1" applyFill="1" applyBorder="1" applyAlignment="1">
      <alignment horizontal="center" vertical="center"/>
    </xf>
    <xf numFmtId="0" fontId="67" fillId="30" borderId="0" xfId="0" applyFont="1" applyFill="1" applyAlignment="1">
      <alignment horizontal="center" vertical="center"/>
    </xf>
    <xf numFmtId="164" fontId="0" fillId="30" borderId="0" xfId="28" applyNumberFormat="1" applyFont="1" applyFill="1" applyAlignment="1">
      <alignment horizontal="center" vertical="center"/>
    </xf>
    <xf numFmtId="0" fontId="0" fillId="26" borderId="47" xfId="0" applyFill="1" applyBorder="1" applyAlignment="1">
      <alignment horizontal="center" vertical="center"/>
    </xf>
    <xf numFmtId="164" fontId="0" fillId="48" borderId="52" xfId="0" applyNumberFormat="1" applyFill="1" applyBorder="1" applyAlignment="1">
      <alignment horizontal="center" vertical="center"/>
    </xf>
    <xf numFmtId="164" fontId="0" fillId="48" borderId="53" xfId="0" applyNumberFormat="1" applyFill="1" applyBorder="1" applyAlignment="1">
      <alignment horizontal="center" vertical="center"/>
    </xf>
    <xf numFmtId="164" fontId="0" fillId="29" borderId="54" xfId="0" applyNumberFormat="1" applyFill="1" applyBorder="1" applyAlignment="1">
      <alignment horizontal="center" vertical="center"/>
    </xf>
    <xf numFmtId="0" fontId="0" fillId="26" borderId="50" xfId="0" applyFill="1" applyBorder="1" applyAlignment="1">
      <alignment horizontal="center" vertical="center"/>
    </xf>
    <xf numFmtId="0" fontId="70" fillId="27" borderId="0" xfId="0" applyFont="1" applyFill="1" applyAlignment="1">
      <alignment horizontal="center"/>
    </xf>
    <xf numFmtId="0" fontId="117" fillId="30" borderId="0" xfId="0" applyFont="1" applyFill="1" applyAlignment="1">
      <alignment horizontal="center" vertical="center"/>
    </xf>
    <xf numFmtId="0" fontId="110" fillId="32" borderId="0" xfId="0" applyFont="1" applyFill="1" applyAlignment="1">
      <alignment horizontal="right"/>
    </xf>
    <xf numFmtId="171" fontId="110" fillId="32" borderId="0" xfId="47" applyNumberFormat="1" applyFont="1" applyFill="1" applyAlignment="1">
      <alignment horizontal="center" vertical="center"/>
    </xf>
    <xf numFmtId="164" fontId="130" fillId="32" borderId="0" xfId="0" applyNumberFormat="1" applyFont="1" applyFill="1" applyAlignment="1">
      <alignment horizontal="right" vertical="center"/>
    </xf>
    <xf numFmtId="8" fontId="77" fillId="32" borderId="0" xfId="0" applyNumberFormat="1" applyFont="1" applyFill="1"/>
    <xf numFmtId="8" fontId="27" fillId="32" borderId="0" xfId="0" applyNumberFormat="1" applyFont="1" applyFill="1"/>
    <xf numFmtId="0" fontId="131" fillId="32" borderId="0" xfId="0" applyFont="1" applyFill="1" applyAlignment="1">
      <alignment horizontal="center"/>
    </xf>
    <xf numFmtId="0" fontId="2" fillId="32" borderId="0" xfId="0" applyFont="1" applyFill="1" applyAlignment="1">
      <alignment horizontal="center" vertical="center"/>
    </xf>
    <xf numFmtId="169" fontId="132" fillId="32" borderId="0" xfId="0" applyNumberFormat="1" applyFont="1" applyFill="1" applyAlignment="1">
      <alignment horizontal="center" vertical="center"/>
    </xf>
    <xf numFmtId="0" fontId="88" fillId="48" borderId="0" xfId="0" applyFont="1" applyFill="1" applyAlignment="1">
      <alignment horizontal="center" vertical="center"/>
    </xf>
    <xf numFmtId="0" fontId="88" fillId="41" borderId="0" xfId="0" applyFont="1" applyFill="1" applyAlignment="1">
      <alignment horizontal="center" vertical="center"/>
    </xf>
    <xf numFmtId="0" fontId="1" fillId="30" borderId="0" xfId="0" applyFont="1" applyFill="1" applyAlignment="1">
      <alignment horizontal="center" vertical="center"/>
    </xf>
    <xf numFmtId="0" fontId="46" fillId="41" borderId="0" xfId="0" applyFont="1" applyFill="1" applyAlignment="1">
      <alignment horizontal="center" vertical="center"/>
    </xf>
    <xf numFmtId="0" fontId="46" fillId="48" borderId="0" xfId="0" applyFont="1" applyFill="1" applyAlignment="1">
      <alignment horizontal="center" vertical="center"/>
    </xf>
    <xf numFmtId="0" fontId="134" fillId="30" borderId="0" xfId="0" applyFont="1" applyFill="1" applyAlignment="1">
      <alignment horizontal="center" vertical="center" wrapText="1"/>
    </xf>
    <xf numFmtId="164" fontId="127" fillId="32" borderId="16" xfId="0" applyNumberFormat="1" applyFont="1" applyFill="1" applyBorder="1" applyAlignment="1">
      <alignment horizontal="center" vertical="center"/>
    </xf>
    <xf numFmtId="164" fontId="127" fillId="48" borderId="16" xfId="0" applyNumberFormat="1" applyFont="1" applyFill="1" applyBorder="1" applyAlignment="1">
      <alignment horizontal="center" vertical="center"/>
    </xf>
    <xf numFmtId="164" fontId="127" fillId="29" borderId="16" xfId="0" applyNumberFormat="1" applyFont="1" applyFill="1" applyBorder="1" applyAlignment="1">
      <alignment horizontal="center" vertical="center"/>
    </xf>
    <xf numFmtId="164" fontId="101" fillId="40" borderId="16" xfId="0" applyNumberFormat="1" applyFont="1" applyFill="1" applyBorder="1" applyAlignment="1">
      <alignment horizontal="center" vertical="center"/>
    </xf>
    <xf numFmtId="164" fontId="101" fillId="40" borderId="16" xfId="28" applyNumberFormat="1" applyFont="1" applyFill="1" applyBorder="1" applyAlignment="1">
      <alignment horizontal="center" vertical="center"/>
    </xf>
    <xf numFmtId="164" fontId="101" fillId="40" borderId="47" xfId="28" applyNumberFormat="1" applyFont="1" applyFill="1" applyBorder="1" applyAlignment="1">
      <alignment horizontal="center" vertical="center"/>
    </xf>
    <xf numFmtId="0" fontId="0" fillId="30" borderId="43" xfId="0" applyFill="1" applyBorder="1" applyAlignment="1">
      <alignment horizontal="center"/>
    </xf>
    <xf numFmtId="44" fontId="2" fillId="26" borderId="0" xfId="0" applyNumberFormat="1" applyFont="1" applyFill="1"/>
    <xf numFmtId="164" fontId="56" fillId="48" borderId="29" xfId="28" applyNumberFormat="1" applyFont="1" applyFill="1" applyBorder="1" applyAlignment="1">
      <alignment horizontal="center" vertical="center"/>
    </xf>
    <xf numFmtId="164" fontId="56" fillId="29" borderId="29" xfId="28" applyNumberFormat="1" applyFont="1" applyFill="1" applyBorder="1" applyAlignment="1">
      <alignment horizontal="center" vertical="center"/>
    </xf>
    <xf numFmtId="164" fontId="56" fillId="48" borderId="55" xfId="28" applyNumberFormat="1" applyFont="1" applyFill="1" applyBorder="1" applyAlignment="1">
      <alignment horizontal="center" vertical="center"/>
    </xf>
    <xf numFmtId="164" fontId="56" fillId="29" borderId="55" xfId="28" applyNumberFormat="1" applyFont="1" applyFill="1" applyBorder="1" applyAlignment="1">
      <alignment horizontal="center" vertical="center"/>
    </xf>
    <xf numFmtId="164" fontId="85" fillId="29" borderId="29" xfId="28" applyNumberFormat="1" applyFont="1" applyFill="1" applyBorder="1" applyAlignment="1">
      <alignment horizontal="center" vertical="center"/>
    </xf>
    <xf numFmtId="164" fontId="85" fillId="48" borderId="55" xfId="0" applyNumberFormat="1" applyFont="1" applyFill="1" applyBorder="1" applyAlignment="1">
      <alignment horizontal="center" vertical="center"/>
    </xf>
    <xf numFmtId="0" fontId="35" fillId="30" borderId="33" xfId="0" applyFont="1" applyFill="1" applyBorder="1" applyAlignment="1">
      <alignment horizontal="center"/>
    </xf>
    <xf numFmtId="0" fontId="35" fillId="30" borderId="0" xfId="0" applyFont="1" applyFill="1" applyAlignment="1">
      <alignment horizontal="center"/>
    </xf>
    <xf numFmtId="0" fontId="35" fillId="30" borderId="0" xfId="0" applyFont="1" applyFill="1" applyAlignment="1">
      <alignment horizontal="center" vertical="center"/>
    </xf>
    <xf numFmtId="164" fontId="111" fillId="48" borderId="16" xfId="0" applyNumberFormat="1" applyFont="1" applyFill="1" applyBorder="1" applyAlignment="1">
      <alignment horizontal="center" vertical="center"/>
    </xf>
    <xf numFmtId="164" fontId="111" fillId="29" borderId="16" xfId="0" applyNumberFormat="1" applyFont="1" applyFill="1" applyBorder="1" applyAlignment="1">
      <alignment horizontal="center" vertical="center"/>
    </xf>
    <xf numFmtId="164" fontId="135" fillId="30" borderId="0" xfId="0" applyNumberFormat="1" applyFont="1" applyFill="1" applyAlignment="1">
      <alignment horizontal="center"/>
    </xf>
    <xf numFmtId="0" fontId="6" fillId="0" borderId="0" xfId="0" applyFont="1" applyAlignment="1">
      <alignment horizontal="center" vertical="center"/>
    </xf>
    <xf numFmtId="169" fontId="2" fillId="0" borderId="0" xfId="28" applyNumberFormat="1" applyFont="1" applyAlignment="1">
      <alignment horizontal="left" vertical="center"/>
    </xf>
    <xf numFmtId="44" fontId="27" fillId="0" borderId="0" xfId="28" applyFont="1" applyAlignment="1">
      <alignment horizontal="left" vertical="center"/>
    </xf>
    <xf numFmtId="8" fontId="27" fillId="0" borderId="0" xfId="28" applyNumberFormat="1" applyFont="1" applyAlignment="1">
      <alignment horizontal="right" vertical="center"/>
    </xf>
    <xf numFmtId="0" fontId="30" fillId="0" borderId="16" xfId="0" applyFont="1" applyBorder="1" applyAlignment="1">
      <alignment horizontal="center" vertical="center" wrapText="1"/>
    </xf>
    <xf numFmtId="14" fontId="4" fillId="0" borderId="0" xfId="0" applyNumberFormat="1" applyFont="1" applyAlignment="1">
      <alignment horizontal="center" vertical="center"/>
    </xf>
    <xf numFmtId="8" fontId="4" fillId="0" borderId="0" xfId="0" applyNumberFormat="1" applyFont="1" applyAlignment="1">
      <alignment horizontal="center" vertical="center"/>
    </xf>
    <xf numFmtId="0" fontId="35" fillId="0" borderId="0" xfId="0" applyFont="1"/>
    <xf numFmtId="0" fontId="29" fillId="0" borderId="0" xfId="0" applyFont="1" applyAlignment="1">
      <alignment horizontal="right" vertical="center"/>
    </xf>
    <xf numFmtId="6" fontId="34" fillId="0" borderId="0" xfId="0" applyNumberFormat="1" applyFont="1" applyAlignment="1">
      <alignment horizontal="center"/>
    </xf>
    <xf numFmtId="10" fontId="27" fillId="0" borderId="0" xfId="0" applyNumberFormat="1" applyFont="1"/>
    <xf numFmtId="3" fontId="1" fillId="32" borderId="0" xfId="0" applyNumberFormat="1" applyFont="1" applyFill="1" applyAlignment="1">
      <alignment horizontal="center"/>
    </xf>
    <xf numFmtId="0" fontId="4" fillId="32" borderId="0" xfId="0" applyFont="1" applyFill="1"/>
    <xf numFmtId="6" fontId="7" fillId="0" borderId="16" xfId="28" applyNumberFormat="1"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23" xfId="0" applyFont="1" applyBorder="1" applyAlignment="1">
      <alignment horizontal="center"/>
    </xf>
    <xf numFmtId="0" fontId="27" fillId="24" borderId="11" xfId="0" applyFont="1" applyFill="1" applyBorder="1" applyAlignment="1">
      <alignment vertical="center"/>
    </xf>
    <xf numFmtId="164" fontId="27" fillId="0" borderId="0" xfId="47" applyNumberFormat="1" applyFont="1" applyAlignment="1">
      <alignment horizontal="center" vertical="center"/>
    </xf>
    <xf numFmtId="14" fontId="6" fillId="0" borderId="0" xfId="0" applyNumberFormat="1" applyFont="1" applyAlignment="1">
      <alignment horizontal="center" vertical="center"/>
    </xf>
    <xf numFmtId="0" fontId="5" fillId="0" borderId="0" xfId="0" applyFont="1" applyAlignment="1">
      <alignment horizontal="center" vertical="center"/>
    </xf>
    <xf numFmtId="164" fontId="2" fillId="28" borderId="41" xfId="0" applyNumberFormat="1" applyFont="1" applyFill="1" applyBorder="1" applyAlignment="1">
      <alignment horizontal="center" vertical="center"/>
    </xf>
    <xf numFmtId="49" fontId="27" fillId="24" borderId="11" xfId="0" applyNumberFormat="1" applyFont="1" applyFill="1" applyBorder="1" applyAlignment="1">
      <alignment horizontal="center" vertical="center"/>
    </xf>
    <xf numFmtId="14" fontId="27" fillId="24" borderId="11" xfId="0" applyNumberFormat="1" applyFont="1" applyFill="1" applyBorder="1" applyAlignment="1">
      <alignment horizontal="center" vertical="center"/>
    </xf>
    <xf numFmtId="164" fontId="27" fillId="24" borderId="11" xfId="0" applyNumberFormat="1" applyFont="1" applyFill="1" applyBorder="1" applyAlignment="1">
      <alignment horizontal="center" vertical="center"/>
    </xf>
    <xf numFmtId="44" fontId="32" fillId="40" borderId="20" xfId="28" applyFont="1" applyFill="1" applyBorder="1"/>
    <xf numFmtId="0" fontId="62" fillId="32" borderId="0" xfId="0" applyFont="1" applyFill="1" applyAlignment="1">
      <alignment horizontal="center"/>
    </xf>
    <xf numFmtId="0" fontId="51" fillId="32" borderId="0" xfId="0" applyFont="1" applyFill="1" applyAlignment="1">
      <alignment horizontal="center"/>
    </xf>
    <xf numFmtId="0" fontId="84" fillId="32" borderId="0" xfId="0" applyFont="1" applyFill="1" applyAlignment="1">
      <alignment horizontal="center" vertical="center"/>
    </xf>
    <xf numFmtId="0" fontId="85" fillId="32" borderId="0" xfId="0" applyFont="1" applyFill="1"/>
    <xf numFmtId="0" fontId="49" fillId="0" borderId="0" xfId="0" applyFont="1" applyAlignment="1">
      <alignment horizontal="center" vertical="center"/>
    </xf>
    <xf numFmtId="164" fontId="104" fillId="0" borderId="0" xfId="28" applyNumberFormat="1" applyFont="1" applyAlignment="1">
      <alignment horizontal="center" vertical="center"/>
    </xf>
    <xf numFmtId="164" fontId="104" fillId="0" borderId="35" xfId="0" applyNumberFormat="1" applyFont="1" applyBorder="1" applyAlignment="1">
      <alignment horizontal="center"/>
    </xf>
    <xf numFmtId="164" fontId="2" fillId="44" borderId="56" xfId="28" applyNumberFormat="1" applyFont="1" applyFill="1" applyBorder="1" applyAlignment="1">
      <alignment horizontal="center" vertical="center"/>
    </xf>
    <xf numFmtId="164" fontId="2" fillId="29" borderId="41" xfId="28" applyNumberFormat="1" applyFont="1" applyFill="1" applyBorder="1" applyAlignment="1">
      <alignment horizontal="center" vertical="center"/>
    </xf>
    <xf numFmtId="0" fontId="111" fillId="44" borderId="0" xfId="0" applyFont="1" applyFill="1" applyAlignment="1">
      <alignment horizontal="center" vertical="center"/>
    </xf>
    <xf numFmtId="0" fontId="84" fillId="44" borderId="0" xfId="0" applyFont="1" applyFill="1" applyAlignment="1">
      <alignment horizontal="center" vertical="center"/>
    </xf>
    <xf numFmtId="0" fontId="0" fillId="44" borderId="0" xfId="0" applyFill="1" applyAlignment="1">
      <alignment horizontal="center"/>
    </xf>
    <xf numFmtId="0" fontId="58" fillId="44" borderId="0" xfId="0" applyFont="1" applyFill="1" applyAlignment="1">
      <alignment horizontal="center"/>
    </xf>
    <xf numFmtId="0" fontId="72" fillId="27" borderId="0" xfId="0" applyFont="1" applyFill="1" applyAlignment="1">
      <alignment horizontal="center"/>
    </xf>
    <xf numFmtId="0" fontId="4" fillId="0" borderId="41" xfId="0" applyFont="1" applyBorder="1" applyAlignment="1">
      <alignment horizontal="center"/>
    </xf>
    <xf numFmtId="0" fontId="32" fillId="0" borderId="41" xfId="0" applyFont="1" applyBorder="1" applyAlignment="1">
      <alignment horizontal="center"/>
    </xf>
    <xf numFmtId="0" fontId="103" fillId="0" borderId="0" xfId="0" applyFont="1" applyAlignment="1">
      <alignment horizontal="center" vertical="center"/>
    </xf>
    <xf numFmtId="0" fontId="32" fillId="0" borderId="56" xfId="0" applyFont="1" applyBorder="1" applyAlignment="1">
      <alignment horizontal="center"/>
    </xf>
    <xf numFmtId="0" fontId="5" fillId="0" borderId="0" xfId="0" applyFont="1" applyAlignment="1">
      <alignment horizontal="center"/>
    </xf>
    <xf numFmtId="0" fontId="93" fillId="40" borderId="0" xfId="0" applyFont="1" applyFill="1" applyAlignment="1">
      <alignment horizontal="center" vertical="center"/>
    </xf>
    <xf numFmtId="0" fontId="50" fillId="40" borderId="0" xfId="0" applyFont="1" applyFill="1" applyAlignment="1">
      <alignment horizontal="center" vertical="center"/>
    </xf>
    <xf numFmtId="0" fontId="95" fillId="0" borderId="0" xfId="0" applyFont="1" applyAlignment="1">
      <alignment horizontal="center"/>
    </xf>
    <xf numFmtId="0" fontId="105" fillId="40" borderId="0" xfId="0" applyFont="1" applyFill="1" applyAlignment="1">
      <alignment horizontal="center" vertical="center"/>
    </xf>
    <xf numFmtId="0" fontId="111" fillId="26" borderId="0" xfId="0" applyFont="1" applyFill="1" applyAlignment="1">
      <alignment horizontal="center" vertical="top"/>
    </xf>
    <xf numFmtId="0" fontId="32" fillId="0" borderId="0" xfId="0" applyFont="1" applyAlignment="1">
      <alignment horizontal="center"/>
    </xf>
    <xf numFmtId="0" fontId="70" fillId="0" borderId="0" xfId="0" applyFont="1" applyAlignment="1">
      <alignment horizontal="center" vertical="center"/>
    </xf>
    <xf numFmtId="0" fontId="142" fillId="0" borderId="0" xfId="0" applyFont="1" applyAlignment="1">
      <alignment horizontal="center" vertical="center"/>
    </xf>
    <xf numFmtId="0" fontId="143" fillId="40" borderId="0" xfId="0" applyFont="1" applyFill="1" applyAlignment="1">
      <alignment horizontal="center" vertical="center"/>
    </xf>
    <xf numFmtId="0" fontId="137" fillId="28" borderId="0" xfId="0" applyFont="1" applyFill="1" applyAlignment="1">
      <alignment horizontal="center" vertical="center"/>
    </xf>
    <xf numFmtId="0" fontId="137" fillId="29" borderId="0" xfId="0" applyFont="1" applyFill="1" applyAlignment="1">
      <alignment horizontal="center" vertical="center"/>
    </xf>
    <xf numFmtId="164" fontId="136" fillId="0" borderId="0" xfId="28" applyNumberFormat="1" applyFont="1" applyAlignment="1">
      <alignment horizontal="center" vertical="center"/>
    </xf>
    <xf numFmtId="164" fontId="144" fillId="0" borderId="0" xfId="28" applyNumberFormat="1" applyFont="1" applyAlignment="1">
      <alignment horizontal="center" vertical="center"/>
    </xf>
    <xf numFmtId="164" fontId="144" fillId="0" borderId="35" xfId="0" applyNumberFormat="1" applyFont="1" applyBorder="1" applyAlignment="1">
      <alignment horizontal="center"/>
    </xf>
    <xf numFmtId="164" fontId="80" fillId="0" borderId="47" xfId="0" applyNumberFormat="1" applyFont="1" applyBorder="1" applyAlignment="1">
      <alignment horizontal="center"/>
    </xf>
    <xf numFmtId="164" fontId="145" fillId="0" borderId="47" xfId="0" applyNumberFormat="1" applyFont="1" applyBorder="1" applyAlignment="1">
      <alignment horizontal="center"/>
    </xf>
    <xf numFmtId="164" fontId="119" fillId="36" borderId="42" xfId="28" applyNumberFormat="1" applyFont="1" applyFill="1" applyBorder="1" applyAlignment="1">
      <alignment horizontal="center" vertical="center"/>
    </xf>
    <xf numFmtId="164" fontId="2" fillId="36" borderId="41" xfId="28" applyNumberFormat="1" applyFont="1" applyFill="1" applyBorder="1" applyAlignment="1">
      <alignment horizontal="center" vertical="center"/>
    </xf>
    <xf numFmtId="44" fontId="137" fillId="36" borderId="0" xfId="28" applyFont="1" applyFill="1" applyAlignment="1">
      <alignment horizontal="center" vertical="center"/>
    </xf>
    <xf numFmtId="0" fontId="139" fillId="36" borderId="0" xfId="0" applyFont="1" applyFill="1" applyAlignment="1">
      <alignment horizontal="center" vertical="center"/>
    </xf>
    <xf numFmtId="0" fontId="0" fillId="44" borderId="0" xfId="0" applyFill="1"/>
    <xf numFmtId="169" fontId="150" fillId="30" borderId="0" xfId="0" applyNumberFormat="1" applyFont="1" applyFill="1" applyAlignment="1">
      <alignment horizontal="center" vertical="center"/>
    </xf>
    <xf numFmtId="164" fontId="151" fillId="0" borderId="0" xfId="28" applyNumberFormat="1" applyFont="1" applyAlignment="1">
      <alignment horizontal="center" vertical="center"/>
    </xf>
    <xf numFmtId="164" fontId="87" fillId="32" borderId="0" xfId="28" applyNumberFormat="1" applyFont="1" applyFill="1" applyAlignment="1">
      <alignment horizontal="center" vertical="center"/>
    </xf>
    <xf numFmtId="0" fontId="101" fillId="47" borderId="0" xfId="0" applyFont="1" applyFill="1" applyAlignment="1">
      <alignment horizontal="center" vertical="center"/>
    </xf>
    <xf numFmtId="0" fontId="101" fillId="50" borderId="0" xfId="0" applyFont="1" applyFill="1" applyAlignment="1">
      <alignment horizontal="center" vertical="center"/>
    </xf>
    <xf numFmtId="0" fontId="152" fillId="32" borderId="0" xfId="0" applyFont="1" applyFill="1" applyAlignment="1">
      <alignment horizontal="center" vertical="center"/>
    </xf>
    <xf numFmtId="10" fontId="0" fillId="0" borderId="0" xfId="0" applyNumberFormat="1" applyAlignment="1">
      <alignment horizontal="center" vertical="center"/>
    </xf>
    <xf numFmtId="9" fontId="27" fillId="0" borderId="0" xfId="0" applyNumberFormat="1" applyFont="1" applyAlignment="1">
      <alignment horizontal="center" vertical="center"/>
    </xf>
    <xf numFmtId="10" fontId="27" fillId="0" borderId="0" xfId="0" applyNumberFormat="1" applyFont="1" applyAlignment="1">
      <alignment horizontal="center" vertical="center"/>
    </xf>
    <xf numFmtId="0" fontId="1" fillId="0" borderId="0" xfId="0" applyFont="1" applyAlignment="1">
      <alignment horizontal="center" vertical="center"/>
    </xf>
    <xf numFmtId="44" fontId="4" fillId="46" borderId="21" xfId="28" applyFont="1" applyFill="1" applyBorder="1"/>
    <xf numFmtId="0" fontId="43" fillId="0" borderId="0" xfId="0" applyFont="1" applyAlignment="1">
      <alignment horizontal="center"/>
    </xf>
    <xf numFmtId="16" fontId="27" fillId="0" borderId="0" xfId="0" applyNumberFormat="1" applyFont="1" applyAlignment="1">
      <alignment horizontal="center" vertical="center"/>
    </xf>
    <xf numFmtId="0" fontId="101" fillId="43" borderId="0" xfId="0" applyFont="1" applyFill="1" applyAlignment="1">
      <alignment horizontal="center" vertical="center"/>
    </xf>
    <xf numFmtId="6" fontId="99" fillId="0" borderId="16" xfId="28" applyNumberFormat="1" applyFont="1" applyBorder="1" applyAlignment="1">
      <alignment horizontal="center" vertical="center" wrapText="1"/>
    </xf>
    <xf numFmtId="164" fontId="2" fillId="26" borderId="0" xfId="28" applyNumberFormat="1" applyFont="1" applyFill="1" applyAlignment="1">
      <alignment vertical="center"/>
    </xf>
    <xf numFmtId="0" fontId="154" fillId="0" borderId="0" xfId="0" applyFont="1" applyAlignment="1">
      <alignment horizontal="center"/>
    </xf>
    <xf numFmtId="44" fontId="27" fillId="36" borderId="0" xfId="28" applyFont="1" applyFill="1" applyAlignment="1">
      <alignment horizontal="left" vertical="center"/>
    </xf>
    <xf numFmtId="0" fontId="158" fillId="27" borderId="0" xfId="0" applyFont="1" applyFill="1" applyAlignment="1">
      <alignment horizontal="center" vertical="center"/>
    </xf>
    <xf numFmtId="0" fontId="92" fillId="27" borderId="0" xfId="0" applyFont="1" applyFill="1" applyAlignment="1">
      <alignment horizontal="center"/>
    </xf>
    <xf numFmtId="0" fontId="70" fillId="27" borderId="0" xfId="0" applyFont="1" applyFill="1" applyAlignment="1">
      <alignment horizontal="center" vertical="center"/>
    </xf>
    <xf numFmtId="0" fontId="74" fillId="27" borderId="0" xfId="0" applyFont="1" applyFill="1" applyAlignment="1">
      <alignment horizontal="center"/>
    </xf>
    <xf numFmtId="164" fontId="160" fillId="32" borderId="0" xfId="28" applyNumberFormat="1" applyFont="1" applyFill="1" applyAlignment="1">
      <alignment horizontal="center" vertical="center"/>
    </xf>
    <xf numFmtId="164" fontId="160" fillId="0" borderId="35" xfId="0" applyNumberFormat="1" applyFont="1" applyBorder="1" applyAlignment="1">
      <alignment horizontal="center"/>
    </xf>
    <xf numFmtId="164" fontId="75" fillId="32" borderId="0" xfId="28" applyNumberFormat="1" applyFont="1" applyFill="1" applyAlignment="1">
      <alignment horizontal="center" vertical="center"/>
    </xf>
    <xf numFmtId="164" fontId="160" fillId="0" borderId="35" xfId="0" applyNumberFormat="1" applyFont="1" applyBorder="1" applyAlignment="1">
      <alignment horizontal="center" vertical="center"/>
    </xf>
    <xf numFmtId="0" fontId="120" fillId="27" borderId="0" xfId="0" applyFont="1" applyFill="1" applyAlignment="1">
      <alignment horizontal="center" vertical="center"/>
    </xf>
    <xf numFmtId="164" fontId="162" fillId="28" borderId="41" xfId="0" applyNumberFormat="1" applyFont="1" applyFill="1" applyBorder="1" applyAlignment="1">
      <alignment horizontal="center" vertical="center"/>
    </xf>
    <xf numFmtId="164" fontId="150" fillId="40" borderId="41" xfId="28" applyNumberFormat="1" applyFont="1" applyFill="1" applyBorder="1" applyAlignment="1">
      <alignment horizontal="center" vertical="center"/>
    </xf>
    <xf numFmtId="0" fontId="4" fillId="52" borderId="16" xfId="0" applyFont="1" applyFill="1" applyBorder="1" applyAlignment="1">
      <alignment horizontal="center" vertical="center" wrapText="1"/>
    </xf>
    <xf numFmtId="164" fontId="162" fillId="52" borderId="41" xfId="28" applyNumberFormat="1" applyFont="1" applyFill="1" applyBorder="1" applyAlignment="1">
      <alignment horizontal="center" vertical="center"/>
    </xf>
    <xf numFmtId="0" fontId="85" fillId="52" borderId="0" xfId="0" applyFont="1" applyFill="1" applyAlignment="1">
      <alignment horizontal="center" vertical="center"/>
    </xf>
    <xf numFmtId="8" fontId="2" fillId="0" borderId="0" xfId="0" applyNumberFormat="1" applyFont="1" applyAlignment="1">
      <alignment horizontal="center" vertical="center"/>
    </xf>
    <xf numFmtId="14" fontId="6" fillId="52" borderId="0" xfId="0" applyNumberFormat="1" applyFont="1" applyFill="1" applyAlignment="1">
      <alignment horizontal="center" vertical="center"/>
    </xf>
    <xf numFmtId="14" fontId="6" fillId="53" borderId="0" xfId="0" applyNumberFormat="1" applyFont="1" applyFill="1" applyAlignment="1">
      <alignment horizontal="center" vertical="center"/>
    </xf>
    <xf numFmtId="0" fontId="5" fillId="52" borderId="0" xfId="0" applyFont="1" applyFill="1" applyAlignment="1">
      <alignment horizontal="center" vertical="center"/>
    </xf>
    <xf numFmtId="0" fontId="5" fillId="53" borderId="0" xfId="0" applyFont="1" applyFill="1" applyAlignment="1">
      <alignment horizontal="center" vertical="center"/>
    </xf>
    <xf numFmtId="6" fontId="32" fillId="40" borderId="16" xfId="0" applyNumberFormat="1" applyFont="1" applyFill="1" applyBorder="1" applyAlignment="1">
      <alignment horizontal="center" vertical="center" wrapText="1"/>
    </xf>
    <xf numFmtId="44" fontId="150" fillId="40" borderId="0" xfId="0" applyNumberFormat="1" applyFont="1" applyFill="1" applyAlignment="1">
      <alignment horizontal="center" vertical="center"/>
    </xf>
    <xf numFmtId="164" fontId="150" fillId="40" borderId="0" xfId="0" applyNumberFormat="1" applyFont="1" applyFill="1" applyAlignment="1">
      <alignment horizontal="center" vertical="center"/>
    </xf>
    <xf numFmtId="164" fontId="119" fillId="37" borderId="0" xfId="0" applyNumberFormat="1" applyFont="1" applyFill="1" applyAlignment="1">
      <alignment horizontal="center" vertical="center"/>
    </xf>
    <xf numFmtId="0" fontId="58" fillId="37" borderId="0" xfId="0" applyFont="1" applyFill="1" applyAlignment="1">
      <alignment horizontal="center" vertical="center"/>
    </xf>
    <xf numFmtId="0" fontId="159" fillId="37" borderId="0" xfId="0" applyFont="1" applyFill="1" applyAlignment="1">
      <alignment horizontal="center" vertical="center"/>
    </xf>
    <xf numFmtId="0" fontId="155" fillId="37" borderId="0" xfId="0" applyFont="1" applyFill="1" applyAlignment="1">
      <alignment horizontal="center"/>
    </xf>
    <xf numFmtId="164" fontId="166" fillId="37" borderId="56" xfId="0" applyNumberFormat="1" applyFont="1" applyFill="1" applyBorder="1" applyAlignment="1">
      <alignment horizontal="center" vertical="center"/>
    </xf>
    <xf numFmtId="164" fontId="163" fillId="37" borderId="35" xfId="0" applyNumberFormat="1" applyFont="1" applyFill="1" applyBorder="1" applyAlignment="1">
      <alignment horizontal="center" vertical="center"/>
    </xf>
    <xf numFmtId="0" fontId="155" fillId="37" borderId="0" xfId="0" applyFont="1" applyFill="1" applyAlignment="1">
      <alignment horizontal="center" vertical="center"/>
    </xf>
    <xf numFmtId="164" fontId="61" fillId="0" borderId="0" xfId="0" applyNumberFormat="1" applyFont="1" applyAlignment="1">
      <alignment horizontal="center" vertical="center"/>
    </xf>
    <xf numFmtId="0" fontId="154" fillId="0" borderId="0" xfId="0" applyFont="1" applyAlignment="1">
      <alignment horizontal="center" vertical="center"/>
    </xf>
    <xf numFmtId="0" fontId="122" fillId="27" borderId="0" xfId="0" applyFont="1" applyFill="1" applyAlignment="1">
      <alignment horizontal="center" vertical="center"/>
    </xf>
    <xf numFmtId="164" fontId="155" fillId="37" borderId="0" xfId="0" applyNumberFormat="1" applyFont="1" applyFill="1" applyAlignment="1">
      <alignment horizontal="center" vertical="center"/>
    </xf>
    <xf numFmtId="0" fontId="167" fillId="37" borderId="0" xfId="0" applyFont="1" applyFill="1" applyAlignment="1">
      <alignment horizontal="center" vertical="center"/>
    </xf>
    <xf numFmtId="0" fontId="4" fillId="0" borderId="21" xfId="0" applyFont="1" applyBorder="1" applyAlignment="1">
      <alignment horizontal="center"/>
    </xf>
    <xf numFmtId="164" fontId="2" fillId="0" borderId="0" xfId="0" applyNumberFormat="1" applyFont="1" applyAlignment="1">
      <alignment horizontal="center" vertical="center"/>
    </xf>
    <xf numFmtId="44" fontId="4" fillId="32" borderId="20" xfId="28" applyFont="1" applyFill="1" applyBorder="1"/>
    <xf numFmtId="44" fontId="4" fillId="54" borderId="21" xfId="28" applyFont="1" applyFill="1" applyBorder="1"/>
    <xf numFmtId="0" fontId="36" fillId="32" borderId="0" xfId="0" applyFont="1" applyFill="1" applyAlignment="1">
      <alignment horizontal="center" vertical="center"/>
    </xf>
    <xf numFmtId="44" fontId="2" fillId="26" borderId="0" xfId="0" applyNumberFormat="1" applyFont="1" applyFill="1" applyAlignment="1">
      <alignment horizontal="center" vertical="center"/>
    </xf>
    <xf numFmtId="164" fontId="2" fillId="26" borderId="0" xfId="0" applyNumberFormat="1" applyFont="1" applyFill="1"/>
    <xf numFmtId="164" fontId="46" fillId="26" borderId="44" xfId="28" applyNumberFormat="1" applyFont="1" applyFill="1" applyBorder="1" applyAlignment="1">
      <alignment horizontal="center" vertical="center"/>
    </xf>
    <xf numFmtId="0" fontId="57" fillId="0" borderId="43" xfId="0" applyFont="1" applyBorder="1" applyAlignment="1">
      <alignment horizontal="center"/>
    </xf>
    <xf numFmtId="0" fontId="120" fillId="0" borderId="0" xfId="0" applyFont="1" applyAlignment="1">
      <alignment horizontal="center"/>
    </xf>
    <xf numFmtId="0" fontId="143" fillId="27" borderId="0" xfId="0" applyFont="1" applyFill="1" applyAlignment="1">
      <alignment horizontal="center" vertical="center"/>
    </xf>
    <xf numFmtId="0" fontId="164" fillId="0" borderId="0" xfId="0" applyFont="1" applyAlignment="1">
      <alignment horizontal="center"/>
    </xf>
    <xf numFmtId="164" fontId="82" fillId="0" borderId="0" xfId="0" applyNumberFormat="1" applyFont="1" applyAlignment="1">
      <alignment horizontal="center"/>
    </xf>
    <xf numFmtId="44" fontId="4" fillId="38" borderId="21" xfId="28" applyFont="1" applyFill="1" applyBorder="1"/>
    <xf numFmtId="44" fontId="4" fillId="44" borderId="20" xfId="28" applyFont="1" applyFill="1" applyBorder="1"/>
    <xf numFmtId="164" fontId="75" fillId="0" borderId="35" xfId="0" applyNumberFormat="1" applyFont="1" applyBorder="1" applyAlignment="1">
      <alignment horizontal="center" vertical="center"/>
    </xf>
    <xf numFmtId="164" fontId="85" fillId="0" borderId="0" xfId="0" applyNumberFormat="1" applyFont="1" applyAlignment="1">
      <alignment horizontal="center"/>
    </xf>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4" xfId="0" applyBorder="1"/>
    <xf numFmtId="164" fontId="162" fillId="32" borderId="47" xfId="0" applyNumberFormat="1" applyFont="1" applyFill="1" applyBorder="1" applyAlignment="1">
      <alignment horizontal="center" vertical="center"/>
    </xf>
    <xf numFmtId="164" fontId="69" fillId="32" borderId="0" xfId="28" applyNumberFormat="1" applyFont="1" applyFill="1" applyAlignment="1">
      <alignment horizontal="center" vertical="center"/>
    </xf>
    <xf numFmtId="164" fontId="119" fillId="55" borderId="0" xfId="0" applyNumberFormat="1" applyFont="1" applyFill="1" applyAlignment="1">
      <alignment horizontal="center" vertical="center"/>
    </xf>
    <xf numFmtId="0" fontId="0" fillId="55" borderId="0" xfId="0" applyFill="1"/>
    <xf numFmtId="0" fontId="58" fillId="55" borderId="0" xfId="0" applyFont="1" applyFill="1" applyAlignment="1">
      <alignment horizontal="center" vertical="center"/>
    </xf>
    <xf numFmtId="0" fontId="157" fillId="32" borderId="0" xfId="0" applyFont="1" applyFill="1" applyAlignment="1">
      <alignment horizontal="center" vertical="center"/>
    </xf>
    <xf numFmtId="0" fontId="155" fillId="32" borderId="0" xfId="0" applyFont="1" applyFill="1" applyAlignment="1">
      <alignment horizontal="center"/>
    </xf>
    <xf numFmtId="164" fontId="156" fillId="32" borderId="0" xfId="0" applyNumberFormat="1" applyFont="1" applyFill="1" applyAlignment="1">
      <alignment horizontal="center" vertical="center"/>
    </xf>
    <xf numFmtId="164" fontId="119" fillId="32" borderId="35" xfId="0" applyNumberFormat="1" applyFont="1" applyFill="1" applyBorder="1" applyAlignment="1">
      <alignment horizontal="center" vertical="center"/>
    </xf>
    <xf numFmtId="164" fontId="104" fillId="32" borderId="0" xfId="0" applyNumberFormat="1" applyFont="1" applyFill="1" applyAlignment="1">
      <alignment horizontal="center" vertical="center"/>
    </xf>
    <xf numFmtId="164" fontId="119" fillId="55" borderId="53" xfId="0" applyNumberFormat="1" applyFont="1" applyFill="1" applyBorder="1" applyAlignment="1">
      <alignment horizontal="center" vertical="center"/>
    </xf>
    <xf numFmtId="0" fontId="0" fillId="55" borderId="42" xfId="0" applyFill="1" applyBorder="1"/>
    <xf numFmtId="164" fontId="119" fillId="55" borderId="65" xfId="0" applyNumberFormat="1" applyFont="1" applyFill="1" applyBorder="1" applyAlignment="1">
      <alignment horizontal="center" vertical="center"/>
    </xf>
    <xf numFmtId="0" fontId="58" fillId="55" borderId="42" xfId="0" applyFont="1" applyFill="1" applyBorder="1" applyAlignment="1">
      <alignment horizontal="center" vertical="center"/>
    </xf>
    <xf numFmtId="0" fontId="156" fillId="32" borderId="0" xfId="0" applyFont="1" applyFill="1" applyAlignment="1">
      <alignment horizontal="center" vertical="center"/>
    </xf>
    <xf numFmtId="164" fontId="163" fillId="32" borderId="47" xfId="0" applyNumberFormat="1" applyFont="1" applyFill="1" applyBorder="1" applyAlignment="1">
      <alignment horizontal="center" vertical="center"/>
    </xf>
    <xf numFmtId="0" fontId="167" fillId="32" borderId="0" xfId="0" applyFont="1" applyFill="1" applyAlignment="1">
      <alignment horizontal="center" vertical="center"/>
    </xf>
    <xf numFmtId="0" fontId="167" fillId="32" borderId="0" xfId="0" applyFont="1" applyFill="1" applyAlignment="1">
      <alignment horizontal="center"/>
    </xf>
    <xf numFmtId="164" fontId="167" fillId="32" borderId="0" xfId="0" applyNumberFormat="1" applyFont="1" applyFill="1" applyAlignment="1">
      <alignment horizontal="center" vertical="center"/>
    </xf>
    <xf numFmtId="164" fontId="2" fillId="32" borderId="35" xfId="0" applyNumberFormat="1" applyFont="1" applyFill="1" applyBorder="1" applyAlignment="1">
      <alignment horizontal="center" vertical="center"/>
    </xf>
    <xf numFmtId="164" fontId="69" fillId="32" borderId="0" xfId="0" applyNumberFormat="1" applyFont="1" applyFill="1" applyAlignment="1">
      <alignment horizontal="center" vertical="center"/>
    </xf>
    <xf numFmtId="0" fontId="92" fillId="40" borderId="66" xfId="0" applyFont="1" applyFill="1" applyBorder="1" applyAlignment="1">
      <alignment horizontal="center"/>
    </xf>
    <xf numFmtId="0" fontId="92" fillId="40" borderId="67" xfId="0" applyFont="1" applyFill="1" applyBorder="1" applyAlignment="1">
      <alignment horizontal="center"/>
    </xf>
    <xf numFmtId="0" fontId="92" fillId="40" borderId="29" xfId="0" applyFont="1" applyFill="1" applyBorder="1" applyAlignment="1">
      <alignment horizontal="center"/>
    </xf>
    <xf numFmtId="0" fontId="92" fillId="40" borderId="36" xfId="0" applyFont="1" applyFill="1" applyBorder="1" applyAlignment="1">
      <alignment horizontal="right"/>
    </xf>
    <xf numFmtId="0" fontId="92" fillId="40" borderId="0" xfId="0" applyFont="1" applyFill="1" applyAlignment="1">
      <alignment horizontal="right"/>
    </xf>
    <xf numFmtId="0" fontId="168" fillId="40" borderId="0" xfId="0" applyFont="1" applyFill="1" applyAlignment="1">
      <alignment horizontal="center" vertical="center"/>
    </xf>
    <xf numFmtId="0" fontId="168" fillId="40" borderId="71" xfId="0" applyFont="1" applyFill="1" applyBorder="1" applyAlignment="1">
      <alignment horizontal="center" vertical="center"/>
    </xf>
    <xf numFmtId="0" fontId="33" fillId="40" borderId="0" xfId="0" applyFont="1" applyFill="1" applyAlignment="1">
      <alignment horizontal="right"/>
    </xf>
    <xf numFmtId="164" fontId="75" fillId="40" borderId="0" xfId="0" applyNumberFormat="1" applyFont="1" applyFill="1" applyAlignment="1">
      <alignment horizontal="center" vertical="center"/>
    </xf>
    <xf numFmtId="0" fontId="75" fillId="40" borderId="0" xfId="0" applyFont="1" applyFill="1" applyAlignment="1">
      <alignment horizontal="center" vertical="center"/>
    </xf>
    <xf numFmtId="0" fontId="113" fillId="40" borderId="0" xfId="0" applyFont="1" applyFill="1" applyAlignment="1">
      <alignment horizontal="center" vertical="center"/>
    </xf>
    <xf numFmtId="0" fontId="0" fillId="40" borderId="68" xfId="0" applyFill="1" applyBorder="1"/>
    <xf numFmtId="0" fontId="66" fillId="40" borderId="72" xfId="0" applyFont="1" applyFill="1" applyBorder="1" applyAlignment="1">
      <alignment horizontal="right" vertical="center"/>
    </xf>
    <xf numFmtId="164" fontId="101" fillId="40" borderId="55" xfId="28" applyNumberFormat="1" applyFont="1" applyFill="1" applyBorder="1" applyAlignment="1">
      <alignment horizontal="center" vertical="center"/>
    </xf>
    <xf numFmtId="0" fontId="66" fillId="40" borderId="73" xfId="0" applyFont="1" applyFill="1" applyBorder="1" applyAlignment="1">
      <alignment horizontal="right" vertical="center"/>
    </xf>
    <xf numFmtId="164" fontId="111" fillId="32" borderId="0" xfId="0" applyNumberFormat="1" applyFont="1" applyFill="1" applyAlignment="1">
      <alignment horizontal="center" vertical="center"/>
    </xf>
    <xf numFmtId="164" fontId="111" fillId="32" borderId="55" xfId="28" applyNumberFormat="1" applyFont="1" applyFill="1" applyBorder="1" applyAlignment="1">
      <alignment horizontal="center" vertical="center"/>
    </xf>
    <xf numFmtId="0" fontId="35" fillId="30" borderId="0" xfId="0" applyFont="1" applyFill="1"/>
    <xf numFmtId="0" fontId="35" fillId="32" borderId="0" xfId="0" applyFont="1" applyFill="1"/>
    <xf numFmtId="0" fontId="69" fillId="0" borderId="47" xfId="0" applyFont="1" applyBorder="1" applyAlignment="1">
      <alignment horizontal="center" vertical="center"/>
    </xf>
    <xf numFmtId="0" fontId="171" fillId="40" borderId="47" xfId="0" applyFont="1" applyFill="1" applyBorder="1" applyAlignment="1">
      <alignment horizontal="center" vertical="center"/>
    </xf>
    <xf numFmtId="0" fontId="172" fillId="40" borderId="54" xfId="0" applyFont="1" applyFill="1" applyBorder="1" applyAlignment="1">
      <alignment horizontal="center" vertical="center"/>
    </xf>
    <xf numFmtId="0" fontId="49" fillId="41" borderId="36" xfId="0" applyFont="1" applyFill="1" applyBorder="1" applyAlignment="1">
      <alignment horizontal="center" vertical="center"/>
    </xf>
    <xf numFmtId="0" fontId="49" fillId="41" borderId="0" xfId="0" applyFont="1" applyFill="1" applyAlignment="1">
      <alignment horizontal="center" vertical="center"/>
    </xf>
    <xf numFmtId="0" fontId="157" fillId="32" borderId="0" xfId="0" applyFont="1" applyFill="1" applyAlignment="1">
      <alignment horizontal="right" vertical="center"/>
    </xf>
    <xf numFmtId="164" fontId="104" fillId="41" borderId="76" xfId="28" applyNumberFormat="1" applyFont="1" applyFill="1" applyBorder="1" applyAlignment="1">
      <alignment horizontal="center" vertical="center"/>
    </xf>
    <xf numFmtId="164" fontId="173" fillId="48" borderId="44" xfId="28" applyNumberFormat="1" applyFont="1" applyFill="1" applyBorder="1" applyAlignment="1">
      <alignment horizontal="center" vertical="center"/>
    </xf>
    <xf numFmtId="164" fontId="173" fillId="29" borderId="44" xfId="28" applyNumberFormat="1" applyFont="1" applyFill="1" applyBorder="1" applyAlignment="1">
      <alignment horizontal="center" vertical="center"/>
    </xf>
    <xf numFmtId="0" fontId="49" fillId="48" borderId="77" xfId="0" applyFont="1" applyFill="1" applyBorder="1" applyAlignment="1">
      <alignment horizontal="center" vertical="center"/>
    </xf>
    <xf numFmtId="0" fontId="49" fillId="48" borderId="47" xfId="0" applyFont="1" applyFill="1" applyBorder="1" applyAlignment="1">
      <alignment horizontal="center" vertical="center"/>
    </xf>
    <xf numFmtId="0" fontId="157" fillId="32" borderId="0" xfId="0" applyFont="1" applyFill="1" applyAlignment="1">
      <alignment vertical="center"/>
    </xf>
    <xf numFmtId="164" fontId="104" fillId="48" borderId="48" xfId="0" applyNumberFormat="1" applyFont="1" applyFill="1" applyBorder="1" applyAlignment="1">
      <alignment horizontal="center" vertical="center"/>
    </xf>
    <xf numFmtId="164" fontId="56" fillId="40" borderId="71" xfId="0" applyNumberFormat="1" applyFont="1" applyFill="1" applyBorder="1" applyAlignment="1">
      <alignment horizontal="center" vertical="center"/>
    </xf>
    <xf numFmtId="164" fontId="165" fillId="40" borderId="44" xfId="28" applyNumberFormat="1" applyFont="1" applyFill="1" applyBorder="1" applyAlignment="1">
      <alignment horizontal="center" vertical="center"/>
    </xf>
    <xf numFmtId="164" fontId="53" fillId="40" borderId="44" xfId="28" applyNumberFormat="1" applyFont="1" applyFill="1" applyBorder="1" applyAlignment="1">
      <alignment horizontal="center" vertical="center"/>
    </xf>
    <xf numFmtId="0" fontId="61" fillId="41" borderId="47" xfId="0" applyFont="1" applyFill="1" applyBorder="1" applyAlignment="1">
      <alignment horizontal="center" vertical="center"/>
    </xf>
    <xf numFmtId="164" fontId="0" fillId="0" borderId="48" xfId="28" applyNumberFormat="1" applyFont="1" applyBorder="1" applyAlignment="1">
      <alignment horizontal="center" vertical="center"/>
    </xf>
    <xf numFmtId="0" fontId="0" fillId="48" borderId="78" xfId="0" applyFill="1" applyBorder="1"/>
    <xf numFmtId="0" fontId="0" fillId="41" borderId="78" xfId="0" applyFill="1" applyBorder="1"/>
    <xf numFmtId="164" fontId="165" fillId="56" borderId="47" xfId="0" applyNumberFormat="1" applyFont="1" applyFill="1" applyBorder="1"/>
    <xf numFmtId="164" fontId="173" fillId="56" borderId="10" xfId="0" applyNumberFormat="1" applyFont="1" applyFill="1" applyBorder="1" applyAlignment="1">
      <alignment horizontal="center" vertical="center"/>
    </xf>
    <xf numFmtId="164" fontId="5" fillId="0" borderId="33" xfId="0" applyNumberFormat="1" applyFont="1" applyBorder="1" applyAlignment="1">
      <alignment horizontal="center" vertical="center"/>
    </xf>
    <xf numFmtId="164" fontId="6" fillId="48" borderId="44" xfId="0" applyNumberFormat="1" applyFont="1" applyFill="1" applyBorder="1" applyAlignment="1">
      <alignment horizontal="center" vertical="center"/>
    </xf>
    <xf numFmtId="164" fontId="6" fillId="41" borderId="44" xfId="0" applyNumberFormat="1" applyFont="1" applyFill="1" applyBorder="1" applyAlignment="1">
      <alignment horizontal="center" vertical="center"/>
    </xf>
    <xf numFmtId="164" fontId="173" fillId="56" borderId="47" xfId="0" applyNumberFormat="1" applyFont="1" applyFill="1" applyBorder="1" applyAlignment="1">
      <alignment horizontal="center" vertical="center"/>
    </xf>
    <xf numFmtId="0" fontId="61" fillId="48" borderId="50" xfId="0" applyFont="1" applyFill="1" applyBorder="1" applyAlignment="1">
      <alignment horizontal="center" vertical="center"/>
    </xf>
    <xf numFmtId="0" fontId="49" fillId="41" borderId="47" xfId="0" applyFont="1" applyFill="1" applyBorder="1" applyAlignment="1">
      <alignment horizontal="center" vertical="center"/>
    </xf>
    <xf numFmtId="164" fontId="173" fillId="56" borderId="12" xfId="0" applyNumberFormat="1" applyFont="1" applyFill="1" applyBorder="1" applyAlignment="1">
      <alignment horizontal="center" vertical="center"/>
    </xf>
    <xf numFmtId="164" fontId="165" fillId="56" borderId="52" xfId="0" applyNumberFormat="1" applyFont="1" applyFill="1" applyBorder="1"/>
    <xf numFmtId="164" fontId="165" fillId="56" borderId="50" xfId="0" applyNumberFormat="1" applyFont="1" applyFill="1" applyBorder="1"/>
    <xf numFmtId="0" fontId="58" fillId="40" borderId="47" xfId="0" applyFont="1" applyFill="1" applyBorder="1" applyAlignment="1">
      <alignment horizontal="center" vertical="center"/>
    </xf>
    <xf numFmtId="0" fontId="174" fillId="40" borderId="47" xfId="0" applyFont="1" applyFill="1" applyBorder="1" applyAlignment="1">
      <alignment horizontal="center" vertical="center"/>
    </xf>
    <xf numFmtId="0" fontId="175" fillId="40" borderId="48" xfId="0" applyFont="1" applyFill="1" applyBorder="1" applyAlignment="1">
      <alignment horizontal="center" vertical="center"/>
    </xf>
    <xf numFmtId="164" fontId="145" fillId="32" borderId="47" xfId="0" applyNumberFormat="1" applyFont="1" applyFill="1" applyBorder="1" applyAlignment="1">
      <alignment horizontal="center" vertical="center"/>
    </xf>
    <xf numFmtId="164" fontId="111" fillId="48" borderId="47" xfId="0" applyNumberFormat="1" applyFont="1" applyFill="1" applyBorder="1" applyAlignment="1">
      <alignment horizontal="center" vertical="center"/>
    </xf>
    <xf numFmtId="164" fontId="111" fillId="41" borderId="48" xfId="0" applyNumberFormat="1" applyFont="1" applyFill="1" applyBorder="1" applyAlignment="1">
      <alignment horizontal="center" vertical="center"/>
    </xf>
    <xf numFmtId="0" fontId="1" fillId="32" borderId="36" xfId="0" applyFont="1" applyFill="1" applyBorder="1" applyAlignment="1">
      <alignment horizontal="center" vertical="center"/>
    </xf>
    <xf numFmtId="8" fontId="145" fillId="32" borderId="47" xfId="0" applyNumberFormat="1" applyFont="1" applyFill="1" applyBorder="1" applyAlignment="1">
      <alignment horizontal="center" vertical="center"/>
    </xf>
    <xf numFmtId="8" fontId="2" fillId="48" borderId="47" xfId="0" applyNumberFormat="1" applyFont="1" applyFill="1" applyBorder="1" applyAlignment="1">
      <alignment horizontal="center" vertical="center"/>
    </xf>
    <xf numFmtId="8" fontId="2" fillId="41" borderId="48" xfId="0" applyNumberFormat="1" applyFont="1" applyFill="1" applyBorder="1" applyAlignment="1">
      <alignment horizontal="center" vertical="center"/>
    </xf>
    <xf numFmtId="0" fontId="0" fillId="32" borderId="36" xfId="0" applyFill="1" applyBorder="1"/>
    <xf numFmtId="0" fontId="0" fillId="32" borderId="33" xfId="0" applyFill="1" applyBorder="1"/>
    <xf numFmtId="0" fontId="4" fillId="32" borderId="36" xfId="0" applyFont="1" applyFill="1" applyBorder="1" applyAlignment="1">
      <alignment horizontal="center" vertical="center"/>
    </xf>
    <xf numFmtId="0" fontId="4" fillId="32" borderId="0" xfId="0" applyFont="1" applyFill="1" applyAlignment="1">
      <alignment horizontal="center" vertical="center"/>
    </xf>
    <xf numFmtId="0" fontId="4" fillId="32" borderId="33" xfId="0" applyFont="1" applyFill="1" applyBorder="1" applyAlignment="1">
      <alignment horizontal="center" vertical="center"/>
    </xf>
    <xf numFmtId="0" fontId="100" fillId="32" borderId="74" xfId="0" applyFont="1" applyFill="1" applyBorder="1" applyAlignment="1">
      <alignment vertical="center"/>
    </xf>
    <xf numFmtId="0" fontId="100" fillId="32" borderId="42" xfId="0" applyFont="1" applyFill="1" applyBorder="1" applyAlignment="1">
      <alignment vertical="center"/>
    </xf>
    <xf numFmtId="0" fontId="0" fillId="32" borderId="42" xfId="0" applyFill="1" applyBorder="1"/>
    <xf numFmtId="164" fontId="6" fillId="32" borderId="42" xfId="0" applyNumberFormat="1" applyFont="1" applyFill="1" applyBorder="1" applyAlignment="1">
      <alignment horizontal="center" vertical="center"/>
    </xf>
    <xf numFmtId="0" fontId="0" fillId="32" borderId="71" xfId="0" applyFill="1" applyBorder="1"/>
    <xf numFmtId="0" fontId="5" fillId="29" borderId="48" xfId="0" applyFont="1" applyFill="1" applyBorder="1" applyAlignment="1">
      <alignment horizontal="center" vertical="center"/>
    </xf>
    <xf numFmtId="0" fontId="5" fillId="48" borderId="48" xfId="0" applyFont="1" applyFill="1" applyBorder="1" applyAlignment="1">
      <alignment horizontal="center" vertical="center"/>
    </xf>
    <xf numFmtId="0" fontId="2" fillId="29" borderId="0" xfId="0" applyFont="1" applyFill="1" applyAlignment="1">
      <alignment horizontal="left" vertical="center"/>
    </xf>
    <xf numFmtId="0" fontId="2" fillId="28" borderId="0" xfId="0" applyFont="1" applyFill="1" applyAlignment="1">
      <alignment horizontal="left"/>
    </xf>
    <xf numFmtId="0" fontId="66" fillId="40" borderId="0" xfId="0" applyFont="1" applyFill="1" applyAlignment="1">
      <alignment horizontal="center" vertical="center"/>
    </xf>
    <xf numFmtId="0" fontId="73" fillId="57" borderId="47" xfId="0" applyFont="1" applyFill="1" applyBorder="1" applyAlignment="1">
      <alignment horizontal="center" vertical="center"/>
    </xf>
    <xf numFmtId="0" fontId="5" fillId="57" borderId="47" xfId="0" applyFont="1" applyFill="1" applyBorder="1" applyAlignment="1">
      <alignment horizontal="center" vertical="center"/>
    </xf>
    <xf numFmtId="164" fontId="2" fillId="57" borderId="50" xfId="0" applyNumberFormat="1" applyFont="1" applyFill="1" applyBorder="1" applyAlignment="1">
      <alignment horizontal="center" vertical="center"/>
    </xf>
    <xf numFmtId="164" fontId="75" fillId="57" borderId="29" xfId="0" applyNumberFormat="1" applyFont="1" applyFill="1" applyBorder="1" applyAlignment="1">
      <alignment horizontal="center" vertical="center"/>
    </xf>
    <xf numFmtId="164" fontId="165" fillId="57" borderId="43" xfId="28" applyNumberFormat="1" applyFont="1" applyFill="1" applyBorder="1" applyAlignment="1">
      <alignment horizontal="center" vertical="center"/>
    </xf>
    <xf numFmtId="8" fontId="165" fillId="57" borderId="47" xfId="0" applyNumberFormat="1" applyFont="1" applyFill="1" applyBorder="1" applyAlignment="1">
      <alignment horizontal="center"/>
    </xf>
    <xf numFmtId="164" fontId="173" fillId="57" borderId="52" xfId="28" applyNumberFormat="1" applyFont="1" applyFill="1" applyBorder="1" applyAlignment="1">
      <alignment horizontal="center" vertical="center"/>
    </xf>
    <xf numFmtId="8" fontId="173" fillId="57" borderId="47" xfId="0" applyNumberFormat="1" applyFont="1" applyFill="1" applyBorder="1" applyAlignment="1">
      <alignment horizontal="center"/>
    </xf>
    <xf numFmtId="0" fontId="71" fillId="57" borderId="75" xfId="0" applyFont="1" applyFill="1" applyBorder="1" applyAlignment="1">
      <alignment horizontal="center" vertical="center"/>
    </xf>
    <xf numFmtId="0" fontId="71" fillId="57" borderId="47" xfId="0" applyFont="1" applyFill="1" applyBorder="1" applyAlignment="1">
      <alignment horizontal="center" vertical="center"/>
    </xf>
    <xf numFmtId="164" fontId="122" fillId="40" borderId="0" xfId="0" applyNumberFormat="1" applyFont="1" applyFill="1" applyAlignment="1">
      <alignment horizontal="left" vertical="center"/>
    </xf>
    <xf numFmtId="0" fontId="134" fillId="40" borderId="0" xfId="0" applyFont="1" applyFill="1" applyAlignment="1">
      <alignment horizontal="center" vertical="center"/>
    </xf>
    <xf numFmtId="164" fontId="2" fillId="32" borderId="0" xfId="0" applyNumberFormat="1" applyFont="1" applyFill="1" applyAlignment="1">
      <alignment horizontal="center" vertical="center"/>
    </xf>
    <xf numFmtId="0" fontId="66" fillId="40" borderId="0" xfId="0" applyFont="1" applyFill="1" applyAlignment="1">
      <alignment horizontal="right" vertical="center"/>
    </xf>
    <xf numFmtId="164" fontId="0" fillId="30" borderId="0" xfId="28" applyNumberFormat="1" applyFont="1" applyFill="1" applyAlignment="1">
      <alignment horizontal="center"/>
    </xf>
    <xf numFmtId="0" fontId="32" fillId="40" borderId="0" xfId="0" applyFont="1" applyFill="1" applyAlignment="1">
      <alignment horizontal="center"/>
    </xf>
    <xf numFmtId="0" fontId="84" fillId="56" borderId="83" xfId="0" applyFont="1" applyFill="1" applyBorder="1" applyAlignment="1">
      <alignment horizontal="left" vertical="center"/>
    </xf>
    <xf numFmtId="0" fontId="74" fillId="40" borderId="0" xfId="0" applyFont="1" applyFill="1" applyAlignment="1">
      <alignment horizontal="center" vertical="center"/>
    </xf>
    <xf numFmtId="0" fontId="74" fillId="40" borderId="49" xfId="0" applyFont="1" applyFill="1" applyBorder="1" applyAlignment="1">
      <alignment horizontal="center" vertical="center"/>
    </xf>
    <xf numFmtId="164" fontId="2" fillId="56" borderId="47" xfId="0" applyNumberFormat="1" applyFont="1" applyFill="1" applyBorder="1" applyAlignment="1">
      <alignment horizontal="center" vertical="center"/>
    </xf>
    <xf numFmtId="0" fontId="66" fillId="40" borderId="84" xfId="0" applyFont="1" applyFill="1" applyBorder="1" applyAlignment="1">
      <alignment horizontal="right" vertical="center"/>
    </xf>
    <xf numFmtId="164" fontId="111" fillId="32" borderId="67" xfId="0" applyNumberFormat="1" applyFont="1" applyFill="1" applyBorder="1" applyAlignment="1">
      <alignment horizontal="left" vertical="center"/>
    </xf>
    <xf numFmtId="0" fontId="73" fillId="56" borderId="47" xfId="0" applyFont="1" applyFill="1" applyBorder="1" applyAlignment="1">
      <alignment horizontal="center" vertical="center"/>
    </xf>
    <xf numFmtId="0" fontId="5" fillId="56" borderId="47" xfId="0" applyFont="1" applyFill="1" applyBorder="1" applyAlignment="1">
      <alignment horizontal="center" vertical="center"/>
    </xf>
    <xf numFmtId="0" fontId="86" fillId="40" borderId="85" xfId="0" applyFont="1" applyFill="1" applyBorder="1" applyAlignment="1">
      <alignment horizontal="center" vertical="center"/>
    </xf>
    <xf numFmtId="164" fontId="2" fillId="40" borderId="0" xfId="0" applyNumberFormat="1" applyFont="1" applyFill="1" applyAlignment="1">
      <alignment horizontal="center" vertical="center"/>
    </xf>
    <xf numFmtId="0" fontId="50" fillId="40" borderId="85" xfId="0" applyFont="1" applyFill="1" applyBorder="1" applyAlignment="1">
      <alignment horizontal="center"/>
    </xf>
    <xf numFmtId="164" fontId="101" fillId="40" borderId="0" xfId="28" applyNumberFormat="1" applyFont="1" applyFill="1" applyAlignment="1">
      <alignment horizontal="center" vertical="center"/>
    </xf>
    <xf numFmtId="164" fontId="111" fillId="32" borderId="85" xfId="0" applyNumberFormat="1" applyFont="1" applyFill="1" applyBorder="1" applyAlignment="1">
      <alignment horizontal="left" vertical="center"/>
    </xf>
    <xf numFmtId="0" fontId="58" fillId="40" borderId="36" xfId="0" applyFont="1" applyFill="1" applyBorder="1" applyAlignment="1">
      <alignment horizontal="center" vertical="center"/>
    </xf>
    <xf numFmtId="164" fontId="165" fillId="56" borderId="39" xfId="28" applyNumberFormat="1" applyFont="1" applyFill="1" applyBorder="1" applyAlignment="1">
      <alignment horizontal="center" vertical="center"/>
    </xf>
    <xf numFmtId="164" fontId="173" fillId="40" borderId="0" xfId="28" applyNumberFormat="1" applyFont="1" applyFill="1" applyAlignment="1">
      <alignment horizontal="center" vertical="center"/>
    </xf>
    <xf numFmtId="0" fontId="46" fillId="56" borderId="47" xfId="0" applyFont="1" applyFill="1" applyBorder="1" applyAlignment="1">
      <alignment horizontal="center" vertical="center"/>
    </xf>
    <xf numFmtId="164" fontId="56" fillId="36" borderId="85" xfId="28" applyNumberFormat="1" applyFont="1" applyFill="1" applyBorder="1" applyAlignment="1">
      <alignment horizontal="center" vertical="center"/>
    </xf>
    <xf numFmtId="0" fontId="49" fillId="40" borderId="0" xfId="0" applyFont="1" applyFill="1" applyAlignment="1">
      <alignment horizontal="center" vertical="center"/>
    </xf>
    <xf numFmtId="0" fontId="0" fillId="40" borderId="44" xfId="0" applyFill="1" applyBorder="1"/>
    <xf numFmtId="164" fontId="179" fillId="40" borderId="12" xfId="0" applyNumberFormat="1" applyFont="1" applyFill="1" applyBorder="1" applyAlignment="1">
      <alignment horizontal="center" vertical="center"/>
    </xf>
    <xf numFmtId="164" fontId="6" fillId="36" borderId="33" xfId="0" applyNumberFormat="1" applyFont="1" applyFill="1" applyBorder="1" applyAlignment="1">
      <alignment horizontal="center" vertical="center"/>
    </xf>
    <xf numFmtId="0" fontId="1" fillId="40" borderId="36" xfId="0" applyFont="1" applyFill="1" applyBorder="1" applyAlignment="1">
      <alignment horizontal="center" vertical="center"/>
    </xf>
    <xf numFmtId="0" fontId="0" fillId="40" borderId="0" xfId="0" applyFill="1" applyAlignment="1">
      <alignment horizontal="center" vertical="center"/>
    </xf>
    <xf numFmtId="164" fontId="0" fillId="40" borderId="44" xfId="28" applyNumberFormat="1" applyFont="1" applyFill="1" applyBorder="1" applyAlignment="1">
      <alignment horizontal="center" vertical="center"/>
    </xf>
    <xf numFmtId="164" fontId="165" fillId="56" borderId="12" xfId="0" applyNumberFormat="1" applyFont="1" applyFill="1" applyBorder="1"/>
    <xf numFmtId="0" fontId="58" fillId="40" borderId="40" xfId="0" applyFont="1" applyFill="1" applyBorder="1" applyAlignment="1">
      <alignment horizontal="center" vertical="center"/>
    </xf>
    <xf numFmtId="164" fontId="145" fillId="36" borderId="47" xfId="0" applyNumberFormat="1" applyFont="1" applyFill="1" applyBorder="1" applyAlignment="1">
      <alignment horizontal="center" vertical="center"/>
    </xf>
    <xf numFmtId="0" fontId="1" fillId="32" borderId="0" xfId="0" applyFont="1" applyFill="1" applyAlignment="1">
      <alignment horizontal="center" vertical="center"/>
    </xf>
    <xf numFmtId="164" fontId="31" fillId="56" borderId="47" xfId="46" applyNumberFormat="1" applyFill="1" applyBorder="1" applyAlignment="1">
      <alignment horizontal="center" vertical="center"/>
    </xf>
    <xf numFmtId="0" fontId="180" fillId="0" borderId="0" xfId="0" applyFont="1" applyAlignment="1">
      <alignment horizontal="center" vertical="center"/>
    </xf>
    <xf numFmtId="0" fontId="100" fillId="32" borderId="0" xfId="0" applyFont="1" applyFill="1" applyAlignment="1">
      <alignment vertical="center"/>
    </xf>
    <xf numFmtId="0" fontId="180" fillId="32" borderId="0" xfId="0" applyFont="1" applyFill="1" applyAlignment="1">
      <alignment horizontal="center" vertical="center"/>
    </xf>
    <xf numFmtId="164" fontId="109" fillId="32" borderId="0" xfId="0" applyNumberFormat="1" applyFont="1" applyFill="1" applyAlignment="1">
      <alignment horizontal="center" vertical="center"/>
    </xf>
    <xf numFmtId="0" fontId="101" fillId="40" borderId="0" xfId="0" applyFont="1" applyFill="1" applyAlignment="1">
      <alignment horizontal="center"/>
    </xf>
    <xf numFmtId="2" fontId="86" fillId="40" borderId="0" xfId="28" applyNumberFormat="1" applyFont="1" applyFill="1" applyAlignment="1">
      <alignment horizontal="center"/>
    </xf>
    <xf numFmtId="0" fontId="123" fillId="40" borderId="0" xfId="0" applyFont="1" applyFill="1" applyAlignment="1">
      <alignment horizontal="right"/>
    </xf>
    <xf numFmtId="0" fontId="123" fillId="40" borderId="0" xfId="0" applyFont="1" applyFill="1" applyAlignment="1">
      <alignment horizontal="center" vertical="center"/>
    </xf>
    <xf numFmtId="0" fontId="4" fillId="38" borderId="16" xfId="0" applyFont="1" applyFill="1" applyBorder="1" applyAlignment="1">
      <alignment horizontal="center" vertical="center" wrapText="1"/>
    </xf>
    <xf numFmtId="0" fontId="4" fillId="54" borderId="16" xfId="0" applyFont="1" applyFill="1" applyBorder="1" applyAlignment="1">
      <alignment horizontal="center" vertical="center" wrapText="1"/>
    </xf>
    <xf numFmtId="0" fontId="29" fillId="54" borderId="16" xfId="0" applyFont="1" applyFill="1" applyBorder="1" applyAlignment="1">
      <alignment horizontal="center" vertical="center" wrapText="1"/>
    </xf>
    <xf numFmtId="44" fontId="7" fillId="38" borderId="16" xfId="28" applyFont="1" applyFill="1" applyBorder="1" applyAlignment="1">
      <alignment horizontal="center" vertical="center" wrapText="1"/>
    </xf>
    <xf numFmtId="44" fontId="1" fillId="54" borderId="16" xfId="28" applyFill="1" applyBorder="1" applyAlignment="1">
      <alignment horizontal="center" vertical="center" wrapText="1"/>
    </xf>
    <xf numFmtId="6" fontId="181" fillId="54" borderId="16" xfId="0" applyNumberFormat="1" applyFont="1" applyFill="1" applyBorder="1" applyAlignment="1">
      <alignment horizontal="center" vertical="center" wrapText="1"/>
    </xf>
    <xf numFmtId="8" fontId="1" fillId="0" borderId="21" xfId="28" applyNumberFormat="1" applyBorder="1"/>
    <xf numFmtId="0" fontId="1" fillId="44" borderId="20" xfId="0" applyFont="1" applyFill="1" applyBorder="1" applyAlignment="1">
      <alignment horizontal="center"/>
    </xf>
    <xf numFmtId="44" fontId="4" fillId="58" borderId="20" xfId="28" applyFont="1" applyFill="1" applyBorder="1"/>
    <xf numFmtId="44" fontId="1" fillId="54" borderId="21" xfId="28" applyFill="1" applyBorder="1"/>
    <xf numFmtId="44" fontId="4" fillId="54" borderId="20" xfId="28" applyFont="1" applyFill="1" applyBorder="1"/>
    <xf numFmtId="0" fontId="35" fillId="30" borderId="20" xfId="0" applyFont="1" applyFill="1" applyBorder="1" applyAlignment="1">
      <alignment horizontal="center"/>
    </xf>
    <xf numFmtId="0" fontId="2" fillId="59" borderId="0" xfId="0" applyFont="1" applyFill="1" applyAlignment="1">
      <alignment vertical="center"/>
    </xf>
    <xf numFmtId="0" fontId="27" fillId="59" borderId="0" xfId="0" applyFont="1" applyFill="1" applyAlignment="1">
      <alignment horizontal="left" vertical="center"/>
    </xf>
    <xf numFmtId="44" fontId="27" fillId="59" borderId="0" xfId="28" applyFont="1" applyFill="1" applyAlignment="1">
      <alignment vertical="center"/>
    </xf>
    <xf numFmtId="0" fontId="27" fillId="59" borderId="0" xfId="0" applyFont="1" applyFill="1" applyAlignment="1">
      <alignment vertical="center"/>
    </xf>
    <xf numFmtId="44" fontId="27" fillId="59" borderId="0" xfId="28" applyFont="1" applyFill="1" applyAlignment="1">
      <alignment horizontal="left" vertical="center"/>
    </xf>
    <xf numFmtId="0" fontId="2" fillId="59" borderId="0" xfId="0" applyFont="1" applyFill="1"/>
    <xf numFmtId="0" fontId="27" fillId="59" borderId="0" xfId="0" applyFont="1" applyFill="1" applyAlignment="1">
      <alignment horizontal="center" vertical="center"/>
    </xf>
    <xf numFmtId="0" fontId="2" fillId="59" borderId="0" xfId="0" applyFont="1" applyFill="1" applyAlignment="1">
      <alignment horizontal="left"/>
    </xf>
    <xf numFmtId="0" fontId="78" fillId="59" borderId="0" xfId="0" applyFont="1" applyFill="1" applyAlignment="1">
      <alignment horizontal="center" vertical="center"/>
    </xf>
    <xf numFmtId="0" fontId="2" fillId="38" borderId="0" xfId="0" applyFont="1" applyFill="1" applyAlignment="1">
      <alignment horizontal="center" vertical="center"/>
    </xf>
    <xf numFmtId="0" fontId="27" fillId="38" borderId="0" xfId="0" applyFont="1" applyFill="1" applyAlignment="1">
      <alignment horizontal="center" vertical="center"/>
    </xf>
    <xf numFmtId="44" fontId="27" fillId="38" borderId="0" xfId="28" applyFont="1" applyFill="1" applyAlignment="1">
      <alignment horizontal="left" vertical="center"/>
    </xf>
    <xf numFmtId="0" fontId="2" fillId="60" borderId="0" xfId="0" applyFont="1" applyFill="1"/>
    <xf numFmtId="0" fontId="27" fillId="60" borderId="0" xfId="0" applyFont="1" applyFill="1" applyAlignment="1">
      <alignment vertical="center"/>
    </xf>
    <xf numFmtId="49" fontId="27" fillId="60" borderId="0" xfId="0" applyNumberFormat="1" applyFont="1" applyFill="1" applyAlignment="1">
      <alignment horizontal="center"/>
    </xf>
    <xf numFmtId="14" fontId="27" fillId="60" borderId="0" xfId="0" applyNumberFormat="1" applyFont="1" applyFill="1"/>
    <xf numFmtId="44" fontId="27" fillId="60" borderId="0" xfId="28" applyFont="1" applyFill="1"/>
    <xf numFmtId="44" fontId="27" fillId="60" borderId="0" xfId="28" applyFont="1" applyFill="1" applyAlignment="1">
      <alignment horizontal="center"/>
    </xf>
    <xf numFmtId="44" fontId="27" fillId="60" borderId="0" xfId="28" applyFont="1" applyFill="1" applyAlignment="1">
      <alignment horizontal="right" vertical="center"/>
    </xf>
    <xf numFmtId="49" fontId="6" fillId="60" borderId="0" xfId="0" applyNumberFormat="1" applyFont="1" applyFill="1" applyAlignment="1">
      <alignment horizontal="center"/>
    </xf>
    <xf numFmtId="14" fontId="6" fillId="60" borderId="0" xfId="0" applyNumberFormat="1" applyFont="1" applyFill="1"/>
    <xf numFmtId="164" fontId="27" fillId="60" borderId="0" xfId="28" applyNumberFormat="1" applyFont="1" applyFill="1" applyAlignment="1">
      <alignment horizontal="center" vertical="center"/>
    </xf>
    <xf numFmtId="169" fontId="27" fillId="60" borderId="0" xfId="28" applyNumberFormat="1" applyFont="1" applyFill="1" applyAlignment="1">
      <alignment horizontal="center" vertical="center"/>
    </xf>
    <xf numFmtId="44" fontId="6" fillId="60" borderId="0" xfId="28" applyFont="1" applyFill="1" applyAlignment="1">
      <alignment horizontal="right"/>
    </xf>
    <xf numFmtId="44" fontId="6" fillId="60" borderId="0" xfId="28" applyFont="1" applyFill="1"/>
    <xf numFmtId="164" fontId="6" fillId="60" borderId="0" xfId="28" applyNumberFormat="1" applyFont="1" applyFill="1" applyAlignment="1">
      <alignment vertical="center"/>
    </xf>
    <xf numFmtId="44" fontId="27" fillId="60" borderId="0" xfId="28" applyFont="1" applyFill="1" applyAlignment="1">
      <alignment vertical="center"/>
    </xf>
    <xf numFmtId="6" fontId="6" fillId="60" borderId="0" xfId="28" applyNumberFormat="1" applyFont="1" applyFill="1" applyAlignment="1">
      <alignment vertical="center"/>
    </xf>
    <xf numFmtId="0" fontId="27" fillId="59" borderId="0" xfId="0" applyFont="1" applyFill="1" applyAlignment="1">
      <alignment horizontal="left"/>
    </xf>
    <xf numFmtId="14" fontId="2" fillId="59" borderId="0" xfId="0" applyNumberFormat="1" applyFont="1" applyFill="1" applyAlignment="1">
      <alignment horizontal="center"/>
    </xf>
    <xf numFmtId="164" fontId="6" fillId="41" borderId="33" xfId="0" applyNumberFormat="1" applyFont="1" applyFill="1" applyBorder="1" applyAlignment="1">
      <alignment horizontal="center" vertical="center"/>
    </xf>
    <xf numFmtId="0" fontId="4" fillId="0" borderId="0" xfId="0" applyFont="1" applyAlignment="1">
      <alignment horizontal="right"/>
    </xf>
    <xf numFmtId="49" fontId="76" fillId="0" borderId="0" xfId="0" applyNumberFormat="1" applyFont="1" applyAlignment="1">
      <alignment horizontal="center" vertical="center"/>
    </xf>
    <xf numFmtId="44" fontId="4" fillId="52" borderId="21" xfId="28" applyFont="1" applyFill="1" applyBorder="1"/>
    <xf numFmtId="0" fontId="7" fillId="0" borderId="16" xfId="0" applyFont="1" applyBorder="1" applyAlignment="1">
      <alignment horizontal="center" vertical="center" wrapText="1"/>
    </xf>
    <xf numFmtId="0" fontId="4" fillId="52" borderId="21" xfId="0" applyFont="1" applyFill="1" applyBorder="1" applyAlignment="1">
      <alignment horizontal="center"/>
    </xf>
    <xf numFmtId="44" fontId="4" fillId="52" borderId="20" xfId="28" applyFont="1" applyFill="1" applyBorder="1"/>
    <xf numFmtId="0" fontId="85" fillId="32" borderId="0" xfId="0" applyFont="1" applyFill="1" applyAlignment="1">
      <alignment horizontal="center" vertical="center"/>
    </xf>
    <xf numFmtId="0" fontId="58" fillId="32" borderId="0" xfId="0" applyFont="1" applyFill="1" applyAlignment="1">
      <alignment horizontal="left" vertical="center"/>
    </xf>
    <xf numFmtId="0" fontId="58" fillId="32" borderId="0" xfId="0" applyFont="1" applyFill="1" applyAlignment="1">
      <alignment horizontal="center" vertical="center"/>
    </xf>
    <xf numFmtId="164" fontId="150" fillId="32" borderId="0" xfId="28" applyNumberFormat="1" applyFont="1" applyFill="1" applyBorder="1" applyAlignment="1">
      <alignment horizontal="center" vertical="center"/>
    </xf>
    <xf numFmtId="164" fontId="160" fillId="0" borderId="0" xfId="0" applyNumberFormat="1" applyFont="1" applyAlignment="1">
      <alignment horizontal="center" vertical="center"/>
    </xf>
    <xf numFmtId="164" fontId="162" fillId="32" borderId="0" xfId="0" applyNumberFormat="1" applyFont="1" applyFill="1" applyAlignment="1">
      <alignment horizontal="center" vertical="center"/>
    </xf>
    <xf numFmtId="164" fontId="162" fillId="32" borderId="0" xfId="28" applyNumberFormat="1" applyFont="1" applyFill="1" applyBorder="1" applyAlignment="1">
      <alignment horizontal="center" vertical="center"/>
    </xf>
    <xf numFmtId="164" fontId="119" fillId="32" borderId="0" xfId="0" applyNumberFormat="1" applyFont="1" applyFill="1" applyAlignment="1">
      <alignment horizontal="center" vertical="center"/>
    </xf>
    <xf numFmtId="164" fontId="163" fillId="32" borderId="0" xfId="0" applyNumberFormat="1" applyFont="1" applyFill="1" applyAlignment="1">
      <alignment horizontal="center" vertical="center"/>
    </xf>
    <xf numFmtId="44" fontId="1" fillId="0" borderId="21" xfId="28" applyFont="1" applyBorder="1"/>
    <xf numFmtId="44" fontId="1" fillId="32" borderId="21" xfId="28" applyFont="1" applyFill="1" applyBorder="1"/>
    <xf numFmtId="0" fontId="2" fillId="0" borderId="0" xfId="0" applyFont="1" applyAlignment="1">
      <alignment horizontal="center"/>
    </xf>
    <xf numFmtId="0" fontId="76" fillId="0" borderId="0" xfId="0" applyFont="1" applyAlignment="1">
      <alignment horizontal="center"/>
    </xf>
    <xf numFmtId="0" fontId="76" fillId="0" borderId="0" xfId="0" applyFont="1" applyAlignment="1">
      <alignment horizontal="center" vertical="center"/>
    </xf>
    <xf numFmtId="6" fontId="76" fillId="0" borderId="0" xfId="0" applyNumberFormat="1" applyFont="1" applyAlignment="1">
      <alignment horizontal="center" vertical="center"/>
    </xf>
    <xf numFmtId="6" fontId="0" fillId="0" borderId="0" xfId="0" applyNumberFormat="1"/>
    <xf numFmtId="164" fontId="27" fillId="0" borderId="0" xfId="0" applyNumberFormat="1" applyFont="1" applyAlignment="1">
      <alignment horizontal="center" vertical="center"/>
    </xf>
    <xf numFmtId="10" fontId="27" fillId="0" borderId="0" xfId="47" applyNumberFormat="1" applyFont="1" applyFill="1" applyBorder="1" applyAlignment="1">
      <alignment horizontal="center" vertical="center"/>
    </xf>
    <xf numFmtId="8" fontId="27" fillId="0" borderId="0" xfId="0" applyNumberFormat="1" applyFont="1" applyAlignment="1">
      <alignment horizontal="center" vertical="center"/>
    </xf>
    <xf numFmtId="0" fontId="6" fillId="0" borderId="0" xfId="0" applyFont="1" applyAlignment="1">
      <alignment horizontal="right"/>
    </xf>
    <xf numFmtId="0" fontId="6" fillId="0" borderId="0" xfId="0" applyFont="1" applyAlignment="1">
      <alignment horizontal="left"/>
    </xf>
    <xf numFmtId="8" fontId="27" fillId="0" borderId="0" xfId="0" applyNumberFormat="1" applyFont="1"/>
    <xf numFmtId="8" fontId="6" fillId="0" borderId="0" xfId="0" applyNumberFormat="1" applyFont="1" applyAlignment="1">
      <alignment horizontal="center" vertical="center"/>
    </xf>
    <xf numFmtId="10" fontId="182" fillId="0" borderId="0" xfId="0" applyNumberFormat="1" applyFont="1" applyAlignment="1">
      <alignment horizontal="center"/>
    </xf>
    <xf numFmtId="8" fontId="183" fillId="0" borderId="0" xfId="0" applyNumberFormat="1" applyFont="1" applyAlignment="1">
      <alignment horizontal="right" vertical="center"/>
    </xf>
    <xf numFmtId="164" fontId="6" fillId="0" borderId="0" xfId="0" applyNumberFormat="1" applyFont="1" applyAlignment="1">
      <alignment horizontal="center" vertical="center"/>
    </xf>
    <xf numFmtId="8" fontId="5" fillId="0" borderId="0" xfId="0" applyNumberFormat="1" applyFont="1" applyAlignment="1">
      <alignment horizontal="center"/>
    </xf>
    <xf numFmtId="10" fontId="6" fillId="0" borderId="0" xfId="0" applyNumberFormat="1" applyFont="1" applyAlignment="1">
      <alignment horizontal="center" vertical="center"/>
    </xf>
    <xf numFmtId="8" fontId="2" fillId="0" borderId="0" xfId="0" applyNumberFormat="1" applyFont="1" applyAlignment="1">
      <alignment horizontal="center"/>
    </xf>
    <xf numFmtId="164" fontId="76" fillId="26" borderId="16" xfId="0" applyNumberFormat="1" applyFont="1" applyFill="1" applyBorder="1" applyAlignment="1">
      <alignment horizontal="center" vertical="center"/>
    </xf>
    <xf numFmtId="10" fontId="27" fillId="26" borderId="16" xfId="47" applyNumberFormat="1" applyFont="1" applyFill="1" applyBorder="1" applyAlignment="1">
      <alignment horizontal="center" vertical="center"/>
    </xf>
    <xf numFmtId="10" fontId="2" fillId="0" borderId="0" xfId="0" applyNumberFormat="1" applyFont="1" applyAlignment="1">
      <alignment horizontal="center"/>
    </xf>
    <xf numFmtId="8" fontId="71" fillId="0" borderId="0" xfId="0" applyNumberFormat="1" applyFont="1" applyAlignment="1">
      <alignment horizontal="center" vertical="center"/>
    </xf>
    <xf numFmtId="0" fontId="153" fillId="0" borderId="0" xfId="0" applyFont="1" applyAlignment="1">
      <alignment horizontal="center"/>
    </xf>
    <xf numFmtId="8" fontId="182" fillId="0" borderId="0" xfId="0" applyNumberFormat="1" applyFont="1" applyAlignment="1">
      <alignment horizontal="center" vertical="center"/>
    </xf>
    <xf numFmtId="49" fontId="4" fillId="0" borderId="0" xfId="0" applyNumberFormat="1" applyFont="1" applyAlignment="1">
      <alignment horizontal="center" vertical="center"/>
    </xf>
    <xf numFmtId="164" fontId="4" fillId="0" borderId="0" xfId="0" applyNumberFormat="1" applyFont="1" applyAlignment="1">
      <alignment horizontal="center" vertical="center"/>
    </xf>
    <xf numFmtId="164" fontId="1" fillId="0" borderId="21" xfId="28" applyNumberFormat="1" applyBorder="1" applyAlignment="1">
      <alignment horizontal="center" vertical="center"/>
    </xf>
    <xf numFmtId="0" fontId="184" fillId="0" borderId="0" xfId="0" applyFont="1" applyAlignment="1">
      <alignment horizontal="center" vertical="center"/>
    </xf>
    <xf numFmtId="0" fontId="2" fillId="0" borderId="0" xfId="0" applyFont="1" applyAlignment="1">
      <alignment horizontal="left" vertical="center"/>
    </xf>
    <xf numFmtId="0" fontId="36" fillId="0" borderId="0" xfId="0" applyFont="1" applyAlignment="1">
      <alignment horizontal="center" vertical="center"/>
    </xf>
    <xf numFmtId="0" fontId="33" fillId="40" borderId="0" xfId="0" applyFont="1" applyFill="1" applyAlignment="1">
      <alignment horizontal="center" vertical="center"/>
    </xf>
    <xf numFmtId="164" fontId="178" fillId="40" borderId="0" xfId="0" applyNumberFormat="1" applyFont="1" applyFill="1" applyAlignment="1">
      <alignment horizontal="center" vertical="center"/>
    </xf>
    <xf numFmtId="164" fontId="33" fillId="40" borderId="0" xfId="0" applyNumberFormat="1" applyFont="1" applyFill="1" applyAlignment="1">
      <alignment horizontal="center" vertical="center"/>
    </xf>
    <xf numFmtId="0" fontId="153" fillId="0" borderId="0" xfId="0" applyFont="1" applyAlignment="1">
      <alignment horizontal="right" vertical="center"/>
    </xf>
    <xf numFmtId="164" fontId="4" fillId="0" borderId="0" xfId="28" applyNumberFormat="1" applyFont="1" applyFill="1" applyBorder="1" applyAlignment="1">
      <alignment horizontal="center" vertical="center" wrapText="1"/>
    </xf>
    <xf numFmtId="0" fontId="4" fillId="0" borderId="16" xfId="28" applyNumberFormat="1" applyFont="1" applyBorder="1" applyAlignment="1">
      <alignment horizontal="center" vertical="center" wrapText="1"/>
    </xf>
    <xf numFmtId="8" fontId="43" fillId="0" borderId="21" xfId="28" applyNumberFormat="1" applyFont="1" applyBorder="1"/>
    <xf numFmtId="44" fontId="1" fillId="0" borderId="0" xfId="28" applyBorder="1"/>
    <xf numFmtId="49" fontId="1" fillId="0" borderId="20" xfId="0" applyNumberFormat="1" applyFont="1" applyBorder="1" applyAlignment="1">
      <alignment horizontal="center"/>
    </xf>
    <xf numFmtId="44" fontId="4" fillId="32" borderId="21" xfId="28" applyFont="1" applyFill="1" applyBorder="1"/>
    <xf numFmtId="44" fontId="29" fillId="0" borderId="21" xfId="28" applyFont="1" applyFill="1" applyBorder="1"/>
    <xf numFmtId="44" fontId="4" fillId="0" borderId="21" xfId="28" applyFont="1" applyFill="1" applyBorder="1"/>
    <xf numFmtId="44" fontId="4" fillId="32" borderId="18" xfId="28" applyFont="1" applyFill="1" applyBorder="1"/>
    <xf numFmtId="164" fontId="1" fillId="0" borderId="18" xfId="28" applyNumberFormat="1" applyBorder="1" applyAlignment="1">
      <alignment horizontal="center" vertical="center"/>
    </xf>
    <xf numFmtId="8" fontId="43" fillId="0" borderId="18" xfId="28" applyNumberFormat="1" applyFont="1" applyBorder="1"/>
    <xf numFmtId="164" fontId="4" fillId="61" borderId="0" xfId="28" applyNumberFormat="1" applyFont="1" applyFill="1" applyBorder="1" applyAlignment="1">
      <alignment horizontal="center" vertical="center" wrapText="1"/>
    </xf>
    <xf numFmtId="0" fontId="4" fillId="61" borderId="30" xfId="28" applyNumberFormat="1" applyFont="1" applyFill="1" applyBorder="1" applyAlignment="1">
      <alignment horizontal="center" vertical="center" wrapText="1"/>
    </xf>
    <xf numFmtId="14" fontId="6" fillId="0" borderId="0" xfId="0" applyNumberFormat="1" applyFont="1" applyAlignment="1">
      <alignment horizontal="center"/>
    </xf>
    <xf numFmtId="6" fontId="4" fillId="0" borderId="0" xfId="0" applyNumberFormat="1" applyFont="1" applyAlignment="1">
      <alignment horizontal="center" vertical="center" wrapText="1"/>
    </xf>
    <xf numFmtId="6" fontId="4" fillId="0" borderId="43" xfId="0" applyNumberFormat="1" applyFont="1" applyBorder="1" applyAlignment="1">
      <alignment horizontal="center" vertical="center" wrapText="1"/>
    </xf>
    <xf numFmtId="0" fontId="1" fillId="0" borderId="43" xfId="0" applyFont="1" applyBorder="1" applyAlignment="1">
      <alignment horizontal="center"/>
    </xf>
    <xf numFmtId="44" fontId="4" fillId="0" borderId="67" xfId="28" applyFont="1" applyFill="1" applyBorder="1" applyAlignment="1">
      <alignment horizontal="center"/>
    </xf>
    <xf numFmtId="44" fontId="4" fillId="0" borderId="49" xfId="28" applyFont="1" applyFill="1" applyBorder="1" applyAlignment="1">
      <alignment horizontal="center"/>
    </xf>
    <xf numFmtId="6" fontId="4" fillId="0" borderId="85" xfId="0" applyNumberFormat="1" applyFont="1" applyBorder="1" applyAlignment="1">
      <alignment horizontal="center" vertical="center" wrapText="1"/>
    </xf>
    <xf numFmtId="0" fontId="1" fillId="0" borderId="85" xfId="0" applyFont="1" applyBorder="1" applyAlignment="1">
      <alignment horizontal="center"/>
    </xf>
    <xf numFmtId="2" fontId="2" fillId="0" borderId="0" xfId="0" applyNumberFormat="1" applyFont="1" applyAlignment="1">
      <alignment horizontal="center" vertical="center"/>
    </xf>
    <xf numFmtId="0" fontId="33" fillId="0" borderId="0" xfId="0" applyFont="1" applyAlignment="1">
      <alignment horizontal="center" vertical="center"/>
    </xf>
    <xf numFmtId="164" fontId="178" fillId="0" borderId="0" xfId="0" applyNumberFormat="1" applyFont="1" applyAlignment="1">
      <alignment horizontal="center" vertical="center"/>
    </xf>
    <xf numFmtId="0" fontId="43" fillId="32" borderId="0" xfId="0" applyFont="1" applyFill="1"/>
    <xf numFmtId="0" fontId="153" fillId="0" borderId="0" xfId="0" applyFont="1" applyAlignment="1">
      <alignment horizontal="center" vertical="center"/>
    </xf>
    <xf numFmtId="164" fontId="33" fillId="0" borderId="0" xfId="0" applyNumberFormat="1" applyFont="1" applyAlignment="1">
      <alignment horizontal="center" vertical="center"/>
    </xf>
    <xf numFmtId="164" fontId="29" fillId="0" borderId="0" xfId="0" applyNumberFormat="1" applyFont="1" applyAlignment="1">
      <alignment horizontal="center" vertical="center"/>
    </xf>
    <xf numFmtId="0" fontId="32" fillId="40" borderId="16" xfId="0" applyFont="1" applyFill="1" applyBorder="1" applyAlignment="1">
      <alignment horizontal="center" vertical="center" wrapText="1"/>
    </xf>
    <xf numFmtId="0" fontId="4" fillId="61" borderId="16" xfId="28" applyNumberFormat="1" applyFont="1" applyFill="1" applyBorder="1" applyAlignment="1">
      <alignment horizontal="center" vertical="center" wrapText="1"/>
    </xf>
    <xf numFmtId="44" fontId="1" fillId="0" borderId="16" xfId="28" applyBorder="1"/>
    <xf numFmtId="44" fontId="4" fillId="0" borderId="16" xfId="28" applyFont="1" applyBorder="1" applyAlignment="1">
      <alignment horizontal="center"/>
    </xf>
    <xf numFmtId="14" fontId="4" fillId="61" borderId="16" xfId="0" applyNumberFormat="1" applyFont="1" applyFill="1" applyBorder="1" applyAlignment="1">
      <alignment horizontal="center" vertical="center"/>
    </xf>
    <xf numFmtId="0" fontId="5" fillId="61" borderId="16" xfId="0" applyFont="1" applyFill="1" applyBorder="1" applyAlignment="1">
      <alignment horizontal="center" vertical="center"/>
    </xf>
    <xf numFmtId="164" fontId="4" fillId="61" borderId="16" xfId="0" applyNumberFormat="1" applyFont="1" applyFill="1" applyBorder="1" applyAlignment="1">
      <alignment horizontal="center" vertical="center"/>
    </xf>
    <xf numFmtId="164" fontId="5" fillId="61" borderId="16" xfId="0" applyNumberFormat="1" applyFont="1" applyFill="1" applyBorder="1" applyAlignment="1">
      <alignment horizontal="center" vertical="center"/>
    </xf>
    <xf numFmtId="0" fontId="153" fillId="61" borderId="16" xfId="0" applyFont="1" applyFill="1" applyBorder="1" applyAlignment="1">
      <alignment horizontal="center" vertical="center"/>
    </xf>
    <xf numFmtId="0" fontId="4" fillId="29" borderId="16" xfId="0" applyFont="1" applyFill="1" applyBorder="1" applyAlignment="1">
      <alignment horizontal="center" vertical="center"/>
    </xf>
    <xf numFmtId="0" fontId="153" fillId="29" borderId="16" xfId="0" applyFont="1" applyFill="1" applyBorder="1" applyAlignment="1">
      <alignment horizontal="center" vertical="center"/>
    </xf>
    <xf numFmtId="0" fontId="32" fillId="27" borderId="16" xfId="0" applyFont="1" applyFill="1" applyBorder="1" applyAlignment="1">
      <alignment horizontal="center" vertical="center" wrapText="1"/>
    </xf>
    <xf numFmtId="164" fontId="178" fillId="40" borderId="16" xfId="0" applyNumberFormat="1" applyFont="1" applyFill="1" applyBorder="1" applyAlignment="1">
      <alignment horizontal="center" vertical="center"/>
    </xf>
    <xf numFmtId="0" fontId="33" fillId="40" borderId="16" xfId="0" applyFont="1" applyFill="1" applyBorder="1" applyAlignment="1">
      <alignment horizontal="center" vertical="center"/>
    </xf>
    <xf numFmtId="164" fontId="153" fillId="61" borderId="16" xfId="0" applyNumberFormat="1" applyFont="1" applyFill="1" applyBorder="1" applyAlignment="1">
      <alignment horizontal="center" vertical="center"/>
    </xf>
    <xf numFmtId="0" fontId="32" fillId="40" borderId="16" xfId="0" applyFont="1" applyFill="1" applyBorder="1" applyAlignment="1">
      <alignment horizontal="center" vertical="center"/>
    </xf>
    <xf numFmtId="49" fontId="4" fillId="0" borderId="16" xfId="0" applyNumberFormat="1" applyFont="1" applyBorder="1" applyAlignment="1">
      <alignment horizontal="center" vertical="center"/>
    </xf>
    <xf numFmtId="164" fontId="32" fillId="40" borderId="0" xfId="0" applyNumberFormat="1" applyFont="1" applyFill="1" applyAlignment="1">
      <alignment horizontal="center" vertical="center"/>
    </xf>
    <xf numFmtId="164" fontId="33" fillId="40" borderId="16" xfId="0" applyNumberFormat="1" applyFont="1" applyFill="1" applyBorder="1" applyAlignment="1">
      <alignment horizontal="center" vertical="center"/>
    </xf>
    <xf numFmtId="0" fontId="65" fillId="40" borderId="16" xfId="0" applyFont="1" applyFill="1" applyBorder="1" applyAlignment="1">
      <alignment horizontal="center" vertical="center"/>
    </xf>
    <xf numFmtId="0" fontId="31" fillId="0" borderId="0" xfId="46" applyAlignment="1">
      <alignment horizontal="center" vertical="center"/>
    </xf>
    <xf numFmtId="0" fontId="81" fillId="0" borderId="0" xfId="0" applyFont="1" applyAlignment="1">
      <alignment horizontal="right"/>
    </xf>
    <xf numFmtId="44" fontId="4" fillId="48" borderId="21" xfId="28" applyFont="1" applyFill="1" applyBorder="1"/>
    <xf numFmtId="44" fontId="4" fillId="41" borderId="21" xfId="28" applyFont="1" applyFill="1" applyBorder="1"/>
    <xf numFmtId="0" fontId="4" fillId="29" borderId="82" xfId="0" applyFont="1" applyFill="1" applyBorder="1" applyAlignment="1">
      <alignment horizontal="center" vertical="center" wrapText="1"/>
    </xf>
    <xf numFmtId="164" fontId="111" fillId="0" borderId="0" xfId="0" applyNumberFormat="1" applyFont="1" applyAlignment="1">
      <alignment horizontal="center" vertical="center"/>
    </xf>
    <xf numFmtId="0" fontId="27" fillId="60" borderId="0" xfId="0" applyFont="1" applyFill="1" applyAlignment="1">
      <alignment horizontal="left" vertical="center"/>
    </xf>
    <xf numFmtId="0" fontId="121" fillId="27" borderId="0" xfId="0" applyFont="1" applyFill="1" applyAlignment="1">
      <alignment horizontal="center"/>
    </xf>
    <xf numFmtId="0" fontId="107" fillId="36" borderId="0" xfId="0" applyFont="1" applyFill="1" applyAlignment="1">
      <alignment horizontal="center"/>
    </xf>
    <xf numFmtId="0" fontId="107" fillId="26" borderId="0" xfId="0" applyFont="1" applyFill="1" applyAlignment="1">
      <alignment horizontal="center"/>
    </xf>
    <xf numFmtId="0" fontId="4" fillId="29" borderId="30" xfId="0" applyFont="1" applyFill="1" applyBorder="1" applyAlignment="1">
      <alignment horizontal="center" vertical="center"/>
    </xf>
    <xf numFmtId="0" fontId="32" fillId="27" borderId="16" xfId="0" applyFont="1" applyFill="1" applyBorder="1" applyAlignment="1">
      <alignment horizontal="center" vertical="center"/>
    </xf>
    <xf numFmtId="0" fontId="32" fillId="27" borderId="0" xfId="0" applyFont="1" applyFill="1" applyAlignment="1">
      <alignment horizontal="center" vertical="center"/>
    </xf>
    <xf numFmtId="0" fontId="27" fillId="60" borderId="0" xfId="0" applyFont="1" applyFill="1" applyAlignment="1">
      <alignment horizontal="center" vertical="center"/>
    </xf>
    <xf numFmtId="0" fontId="27" fillId="24" borderId="56" xfId="0" applyFont="1" applyFill="1" applyBorder="1"/>
    <xf numFmtId="49" fontId="27" fillId="24" borderId="56" xfId="0" applyNumberFormat="1" applyFont="1" applyFill="1" applyBorder="1" applyAlignment="1">
      <alignment horizontal="center"/>
    </xf>
    <xf numFmtId="0" fontId="32" fillId="40" borderId="82" xfId="0" applyFont="1" applyFill="1" applyBorder="1" applyAlignment="1">
      <alignment horizontal="center" vertical="center"/>
    </xf>
    <xf numFmtId="44" fontId="4" fillId="0" borderId="16" xfId="28" applyFont="1" applyFill="1" applyBorder="1" applyAlignment="1">
      <alignment horizontal="center"/>
    </xf>
    <xf numFmtId="44" fontId="1" fillId="0" borderId="16" xfId="28" applyFill="1" applyBorder="1"/>
    <xf numFmtId="0" fontId="4" fillId="0" borderId="16" xfId="0" applyFont="1" applyBorder="1" applyAlignment="1">
      <alignment horizontal="center" vertical="center"/>
    </xf>
    <xf numFmtId="172" fontId="2" fillId="32" borderId="0" xfId="0" applyNumberFormat="1" applyFont="1" applyFill="1" applyAlignment="1">
      <alignment horizontal="center" vertical="center"/>
    </xf>
    <xf numFmtId="173" fontId="2" fillId="32" borderId="0" xfId="0" applyNumberFormat="1" applyFont="1" applyFill="1" applyAlignment="1">
      <alignment horizontal="center" vertical="center"/>
    </xf>
    <xf numFmtId="14" fontId="27" fillId="0" borderId="42" xfId="0" applyNumberFormat="1" applyFont="1" applyBorder="1" applyAlignment="1">
      <alignment horizontal="center" vertical="center"/>
    </xf>
    <xf numFmtId="0" fontId="4" fillId="48" borderId="16" xfId="0" applyFont="1" applyFill="1" applyBorder="1" applyAlignment="1">
      <alignment horizontal="center" vertical="center" wrapText="1"/>
    </xf>
    <xf numFmtId="44" fontId="4" fillId="27" borderId="0" xfId="28" applyFont="1" applyFill="1" applyBorder="1"/>
    <xf numFmtId="164" fontId="1" fillId="27" borderId="0" xfId="28" applyNumberFormat="1" applyFill="1" applyBorder="1" applyAlignment="1">
      <alignment horizontal="center" vertical="center"/>
    </xf>
    <xf numFmtId="8" fontId="43" fillId="27" borderId="92" xfId="28" applyNumberFormat="1" applyFont="1" applyFill="1" applyBorder="1"/>
    <xf numFmtId="44" fontId="4" fillId="0" borderId="18" xfId="28" applyFont="1" applyFill="1" applyBorder="1"/>
    <xf numFmtId="0" fontId="4" fillId="41" borderId="23" xfId="0" applyFont="1" applyFill="1" applyBorder="1" applyAlignment="1">
      <alignment horizontal="center"/>
    </xf>
    <xf numFmtId="0" fontId="4" fillId="41" borderId="17" xfId="0" applyFont="1" applyFill="1" applyBorder="1" applyAlignment="1">
      <alignment horizontal="center"/>
    </xf>
    <xf numFmtId="0" fontId="4" fillId="41" borderId="20" xfId="0" applyFont="1" applyFill="1" applyBorder="1" applyAlignment="1">
      <alignment horizontal="center"/>
    </xf>
    <xf numFmtId="0" fontId="4" fillId="41" borderId="21" xfId="0" applyFont="1" applyFill="1" applyBorder="1" applyAlignment="1">
      <alignment horizontal="center"/>
    </xf>
    <xf numFmtId="0" fontId="1" fillId="0" borderId="93" xfId="0" applyFont="1" applyBorder="1" applyAlignment="1">
      <alignment horizontal="center"/>
    </xf>
    <xf numFmtId="0" fontId="4" fillId="52" borderId="16" xfId="0" applyFont="1" applyFill="1" applyBorder="1" applyAlignment="1">
      <alignment horizontal="center" vertical="center"/>
    </xf>
    <xf numFmtId="0" fontId="4" fillId="48" borderId="20" xfId="0" applyFont="1" applyFill="1" applyBorder="1" applyAlignment="1">
      <alignment horizontal="center"/>
    </xf>
    <xf numFmtId="0" fontId="4" fillId="48" borderId="18" xfId="0" applyFont="1" applyFill="1" applyBorder="1" applyAlignment="1">
      <alignment horizontal="center"/>
    </xf>
    <xf numFmtId="0" fontId="4" fillId="48" borderId="21" xfId="0" applyFont="1" applyFill="1" applyBorder="1" applyAlignment="1">
      <alignment horizontal="center"/>
    </xf>
    <xf numFmtId="0" fontId="4" fillId="48" borderId="17" xfId="0" applyFont="1" applyFill="1" applyBorder="1" applyAlignment="1">
      <alignment horizontal="center"/>
    </xf>
    <xf numFmtId="0" fontId="4" fillId="48" borderId="25" xfId="0" applyFont="1" applyFill="1" applyBorder="1" applyAlignment="1">
      <alignment horizontal="center"/>
    </xf>
    <xf numFmtId="0" fontId="4" fillId="48" borderId="90" xfId="0" applyFont="1" applyFill="1" applyBorder="1" applyAlignment="1">
      <alignment horizontal="center"/>
    </xf>
    <xf numFmtId="0" fontId="4" fillId="41" borderId="93" xfId="0" applyFont="1" applyFill="1" applyBorder="1" applyAlignment="1">
      <alignment horizontal="center"/>
    </xf>
    <xf numFmtId="0" fontId="4" fillId="28" borderId="16" xfId="0" applyFont="1" applyFill="1" applyBorder="1" applyAlignment="1">
      <alignment horizontal="center"/>
    </xf>
    <xf numFmtId="0" fontId="4" fillId="48" borderId="16" xfId="0" applyFont="1" applyFill="1" applyBorder="1" applyAlignment="1">
      <alignment horizontal="center" vertical="center"/>
    </xf>
    <xf numFmtId="0" fontId="153" fillId="48" borderId="16" xfId="0" applyFont="1" applyFill="1" applyBorder="1" applyAlignment="1">
      <alignment horizontal="center" vertical="center"/>
    </xf>
    <xf numFmtId="0" fontId="29" fillId="36" borderId="16" xfId="0" applyFont="1" applyFill="1" applyBorder="1" applyAlignment="1">
      <alignment horizontal="center" vertical="center" wrapText="1"/>
    </xf>
    <xf numFmtId="0" fontId="4" fillId="32" borderId="16" xfId="0" applyFont="1" applyFill="1" applyBorder="1" applyAlignment="1">
      <alignment horizontal="center" vertical="center" wrapText="1"/>
    </xf>
    <xf numFmtId="49" fontId="6" fillId="0" borderId="0" xfId="0" applyNumberFormat="1" applyFont="1" applyAlignment="1">
      <alignment horizontal="center" vertical="center"/>
    </xf>
    <xf numFmtId="0" fontId="32" fillId="0" borderId="0" xfId="0" applyFont="1" applyAlignment="1">
      <alignment horizontal="center" vertical="center"/>
    </xf>
    <xf numFmtId="0" fontId="186" fillId="0" borderId="0" xfId="46" applyFont="1" applyFill="1" applyBorder="1" applyAlignment="1">
      <alignment horizontal="center" vertical="center"/>
    </xf>
    <xf numFmtId="0" fontId="4" fillId="0" borderId="56" xfId="0" applyFont="1" applyBorder="1" applyAlignment="1">
      <alignment horizontal="center" vertical="center"/>
    </xf>
    <xf numFmtId="0" fontId="1" fillId="38" borderId="0" xfId="0" applyFont="1" applyFill="1"/>
    <xf numFmtId="0" fontId="0" fillId="0" borderId="0" xfId="0" applyAlignment="1">
      <alignment horizontal="center" vertical="center"/>
    </xf>
    <xf numFmtId="164" fontId="35" fillId="40" borderId="0" xfId="0" applyNumberFormat="1" applyFont="1" applyFill="1"/>
    <xf numFmtId="8" fontId="35" fillId="40" borderId="0" xfId="0" applyNumberFormat="1" applyFont="1" applyFill="1"/>
    <xf numFmtId="9" fontId="0" fillId="0" borderId="0" xfId="0" applyNumberFormat="1" applyAlignment="1">
      <alignment horizontal="center" vertical="center"/>
    </xf>
    <xf numFmtId="9" fontId="0" fillId="0" borderId="0" xfId="47" applyFont="1" applyAlignment="1">
      <alignment horizontal="center" vertical="center"/>
    </xf>
    <xf numFmtId="9" fontId="4" fillId="61" borderId="47" xfId="0" applyNumberFormat="1" applyFont="1" applyFill="1" applyBorder="1" applyAlignment="1">
      <alignment horizontal="center" vertical="center"/>
    </xf>
    <xf numFmtId="9" fontId="4" fillId="32" borderId="0" xfId="0" applyNumberFormat="1" applyFont="1" applyFill="1" applyAlignment="1">
      <alignment horizontal="center" vertical="center"/>
    </xf>
    <xf numFmtId="8" fontId="35" fillId="40" borderId="0" xfId="0" applyNumberFormat="1" applyFont="1" applyFill="1" applyAlignment="1">
      <alignment horizontal="right" vertical="center"/>
    </xf>
    <xf numFmtId="0" fontId="32" fillId="63" borderId="0" xfId="0" applyFont="1" applyFill="1" applyAlignment="1">
      <alignment horizontal="center" vertical="center"/>
    </xf>
    <xf numFmtId="0" fontId="4" fillId="63" borderId="0" xfId="0" applyFont="1" applyFill="1"/>
    <xf numFmtId="0" fontId="35" fillId="63" borderId="0" xfId="0" applyFont="1" applyFill="1"/>
    <xf numFmtId="0" fontId="4" fillId="46" borderId="16" xfId="0" applyFont="1" applyFill="1" applyBorder="1" applyAlignment="1">
      <alignment horizontal="center" vertical="center"/>
    </xf>
    <xf numFmtId="0" fontId="32" fillId="46" borderId="0" xfId="0" applyFont="1" applyFill="1" applyAlignment="1">
      <alignment horizontal="center" vertical="center" wrapText="1"/>
    </xf>
    <xf numFmtId="44" fontId="1" fillId="61" borderId="16" xfId="28" applyFill="1" applyBorder="1"/>
    <xf numFmtId="0" fontId="32" fillId="44" borderId="0" xfId="0" applyFont="1" applyFill="1" applyAlignment="1">
      <alignment horizontal="center" vertical="center" wrapText="1"/>
    </xf>
    <xf numFmtId="0" fontId="4" fillId="44" borderId="16" xfId="0" applyFont="1" applyFill="1" applyBorder="1" applyAlignment="1">
      <alignment horizontal="center" vertical="center"/>
    </xf>
    <xf numFmtId="44" fontId="4" fillId="41" borderId="90" xfId="28" applyFont="1" applyFill="1" applyBorder="1"/>
    <xf numFmtId="0" fontId="30" fillId="38" borderId="16" xfId="0" applyFont="1" applyFill="1" applyBorder="1" applyAlignment="1">
      <alignment horizontal="center" vertical="center" wrapText="1"/>
    </xf>
    <xf numFmtId="9" fontId="4" fillId="38" borderId="16" xfId="28" applyNumberFormat="1" applyFont="1" applyFill="1" applyBorder="1" applyAlignment="1">
      <alignment horizontal="center" vertical="center"/>
    </xf>
    <xf numFmtId="9" fontId="4" fillId="38" borderId="16" xfId="0" applyNumberFormat="1" applyFont="1" applyFill="1" applyBorder="1" applyAlignment="1">
      <alignment horizontal="center" vertical="center"/>
    </xf>
    <xf numFmtId="0" fontId="4" fillId="38" borderId="16" xfId="28" applyNumberFormat="1" applyFont="1" applyFill="1" applyBorder="1" applyAlignment="1">
      <alignment horizontal="center" vertical="center" wrapText="1"/>
    </xf>
    <xf numFmtId="0" fontId="4" fillId="38" borderId="30" xfId="28" applyNumberFormat="1" applyFont="1" applyFill="1" applyBorder="1" applyAlignment="1">
      <alignment horizontal="center" vertical="center" wrapText="1"/>
    </xf>
    <xf numFmtId="164" fontId="4" fillId="38" borderId="0" xfId="28" applyNumberFormat="1" applyFont="1" applyFill="1" applyBorder="1" applyAlignment="1">
      <alignment horizontal="center" vertical="center" wrapText="1"/>
    </xf>
    <xf numFmtId="0" fontId="4" fillId="61" borderId="16" xfId="0" applyFont="1" applyFill="1" applyBorder="1" applyAlignment="1">
      <alignment horizontal="center" vertical="center" wrapText="1"/>
    </xf>
    <xf numFmtId="9" fontId="4" fillId="48" borderId="16" xfId="0" applyNumberFormat="1" applyFont="1" applyFill="1" applyBorder="1" applyAlignment="1">
      <alignment horizontal="center" vertical="center"/>
    </xf>
    <xf numFmtId="0" fontId="4" fillId="48" borderId="16" xfId="28" applyNumberFormat="1" applyFont="1" applyFill="1" applyBorder="1" applyAlignment="1">
      <alignment horizontal="center" vertical="center" wrapText="1"/>
    </xf>
    <xf numFmtId="164" fontId="4" fillId="48" borderId="0" xfId="28" applyNumberFormat="1" applyFont="1" applyFill="1" applyBorder="1" applyAlignment="1">
      <alignment horizontal="center" vertical="center" wrapText="1"/>
    </xf>
    <xf numFmtId="9" fontId="4" fillId="41" borderId="16" xfId="0" applyNumberFormat="1" applyFont="1" applyFill="1" applyBorder="1" applyAlignment="1">
      <alignment horizontal="center" vertical="center"/>
    </xf>
    <xf numFmtId="0" fontId="4" fillId="41" borderId="16" xfId="28" applyNumberFormat="1" applyFont="1" applyFill="1" applyBorder="1" applyAlignment="1">
      <alignment horizontal="center" vertical="center" wrapText="1"/>
    </xf>
    <xf numFmtId="164" fontId="4" fillId="41" borderId="0" xfId="28" applyNumberFormat="1" applyFont="1" applyFill="1" applyBorder="1" applyAlignment="1">
      <alignment horizontal="center" vertical="center" wrapText="1"/>
    </xf>
    <xf numFmtId="0" fontId="4" fillId="41" borderId="30" xfId="28" applyNumberFormat="1" applyFont="1" applyFill="1" applyBorder="1" applyAlignment="1">
      <alignment horizontal="center" vertical="center" wrapText="1"/>
    </xf>
    <xf numFmtId="0" fontId="4" fillId="0" borderId="16" xfId="28" applyNumberFormat="1" applyFont="1" applyFill="1" applyBorder="1" applyAlignment="1">
      <alignment horizontal="center" vertical="center" wrapText="1"/>
    </xf>
    <xf numFmtId="0" fontId="143" fillId="0" borderId="0" xfId="0" applyFont="1" applyAlignment="1">
      <alignment horizontal="center" vertical="center"/>
    </xf>
    <xf numFmtId="0" fontId="121" fillId="32" borderId="0" xfId="0" applyFont="1" applyFill="1" applyAlignment="1">
      <alignment horizontal="center" vertical="center"/>
    </xf>
    <xf numFmtId="0" fontId="93" fillId="32" borderId="0" xfId="0" applyFont="1" applyFill="1" applyAlignment="1">
      <alignment horizontal="center" vertical="center"/>
    </xf>
    <xf numFmtId="0" fontId="161" fillId="32" borderId="0" xfId="0" applyFont="1" applyFill="1" applyAlignment="1">
      <alignment horizontal="center" vertical="center"/>
    </xf>
    <xf numFmtId="0" fontId="32" fillId="0" borderId="0" xfId="0" applyFont="1" applyAlignment="1">
      <alignment horizontal="center" vertical="center" wrapText="1"/>
    </xf>
    <xf numFmtId="44" fontId="4" fillId="0" borderId="21" xfId="28" applyFont="1" applyFill="1" applyBorder="1" applyAlignment="1">
      <alignment horizontal="center" vertical="center"/>
    </xf>
    <xf numFmtId="0" fontId="85" fillId="0" borderId="0" xfId="0" applyFont="1" applyAlignment="1">
      <alignment horizontal="right" vertical="center"/>
    </xf>
    <xf numFmtId="164" fontId="85" fillId="0" borderId="0" xfId="0" applyNumberFormat="1" applyFont="1" applyAlignment="1">
      <alignment horizontal="left" vertical="center"/>
    </xf>
    <xf numFmtId="164" fontId="187" fillId="0" borderId="0" xfId="0" applyNumberFormat="1" applyFont="1" applyAlignment="1">
      <alignment horizontal="center"/>
    </xf>
    <xf numFmtId="164" fontId="76" fillId="0" borderId="0" xfId="0" applyNumberFormat="1" applyFont="1" applyAlignment="1">
      <alignment horizontal="center" vertical="center"/>
    </xf>
    <xf numFmtId="0" fontId="92" fillId="0" borderId="0" xfId="0" applyFont="1" applyAlignment="1">
      <alignment horizontal="center" vertical="center"/>
    </xf>
    <xf numFmtId="0" fontId="190" fillId="40" borderId="0" xfId="0" applyFont="1" applyFill="1" applyAlignment="1">
      <alignment horizontal="right" vertical="center"/>
    </xf>
    <xf numFmtId="164" fontId="81" fillId="0" borderId="0" xfId="0" applyNumberFormat="1" applyFont="1" applyAlignment="1">
      <alignment horizontal="center" vertical="center"/>
    </xf>
    <xf numFmtId="0" fontId="47" fillId="0" borderId="0" xfId="0" applyFont="1" applyAlignment="1">
      <alignment horizontal="left" vertical="center"/>
    </xf>
    <xf numFmtId="0" fontId="93" fillId="0" borderId="0" xfId="0" applyFont="1" applyAlignment="1">
      <alignment horizontal="center"/>
    </xf>
    <xf numFmtId="0" fontId="190" fillId="27" borderId="0" xfId="0" applyFont="1" applyFill="1" applyAlignment="1">
      <alignment horizontal="right" vertical="center"/>
    </xf>
    <xf numFmtId="0" fontId="190" fillId="30" borderId="0" xfId="0" applyFont="1" applyFill="1" applyAlignment="1">
      <alignment horizontal="right" vertical="center"/>
    </xf>
    <xf numFmtId="164" fontId="46" fillId="0" borderId="42" xfId="0" applyNumberFormat="1" applyFont="1" applyBorder="1" applyAlignment="1">
      <alignment horizontal="center" vertical="center"/>
    </xf>
    <xf numFmtId="0" fontId="190" fillId="27" borderId="42" xfId="0" applyFont="1" applyFill="1" applyBorder="1" applyAlignment="1">
      <alignment horizontal="right" vertical="center"/>
    </xf>
    <xf numFmtId="0" fontId="190" fillId="30" borderId="42" xfId="0" applyFont="1" applyFill="1" applyBorder="1" applyAlignment="1">
      <alignment horizontal="right" vertical="center"/>
    </xf>
    <xf numFmtId="0" fontId="190" fillId="27" borderId="11" xfId="0" applyFont="1" applyFill="1" applyBorder="1" applyAlignment="1">
      <alignment horizontal="right" vertical="center"/>
    </xf>
    <xf numFmtId="0" fontId="85" fillId="0" borderId="11" xfId="0" applyFont="1" applyBorder="1" applyAlignment="1">
      <alignment horizontal="center" vertical="center"/>
    </xf>
    <xf numFmtId="164" fontId="111" fillId="0" borderId="11" xfId="0" applyNumberFormat="1" applyFont="1" applyBorder="1" applyAlignment="1">
      <alignment horizontal="center" vertical="center"/>
    </xf>
    <xf numFmtId="164" fontId="193" fillId="0" borderId="11" xfId="0" applyNumberFormat="1" applyFont="1" applyBorder="1" applyAlignment="1">
      <alignment horizontal="center" vertical="center"/>
    </xf>
    <xf numFmtId="164" fontId="192" fillId="0" borderId="11" xfId="0" applyNumberFormat="1" applyFont="1" applyBorder="1" applyAlignment="1">
      <alignment horizontal="center" vertical="center"/>
    </xf>
    <xf numFmtId="164" fontId="46" fillId="0" borderId="11" xfId="0" applyNumberFormat="1" applyFont="1" applyBorder="1" applyAlignment="1">
      <alignment horizontal="center" vertical="center"/>
    </xf>
    <xf numFmtId="164" fontId="110" fillId="0" borderId="98" xfId="0" applyNumberFormat="1" applyFont="1" applyBorder="1" applyAlignment="1">
      <alignment horizontal="center" vertical="center"/>
    </xf>
    <xf numFmtId="164" fontId="105" fillId="0" borderId="11" xfId="0" applyNumberFormat="1" applyFont="1" applyBorder="1" applyAlignment="1">
      <alignment horizontal="center" vertical="center"/>
    </xf>
    <xf numFmtId="0" fontId="190" fillId="30" borderId="11" xfId="0" applyFont="1" applyFill="1" applyBorder="1" applyAlignment="1">
      <alignment horizontal="right" vertical="center"/>
    </xf>
    <xf numFmtId="164" fontId="189" fillId="0" borderId="11" xfId="0" applyNumberFormat="1" applyFont="1" applyBorder="1" applyAlignment="1">
      <alignment horizontal="center" vertical="center"/>
    </xf>
    <xf numFmtId="164" fontId="110" fillId="0" borderId="11" xfId="0" applyNumberFormat="1" applyFont="1" applyBorder="1" applyAlignment="1">
      <alignment horizontal="center" vertical="center"/>
    </xf>
    <xf numFmtId="0" fontId="191" fillId="27" borderId="0" xfId="0" applyFont="1" applyFill="1" applyAlignment="1">
      <alignment horizontal="center" vertical="center" wrapText="1"/>
    </xf>
    <xf numFmtId="164" fontId="189" fillId="27" borderId="0" xfId="0" applyNumberFormat="1" applyFont="1" applyFill="1" applyAlignment="1">
      <alignment vertical="center"/>
    </xf>
    <xf numFmtId="164" fontId="189" fillId="27" borderId="62" xfId="0" applyNumberFormat="1" applyFont="1" applyFill="1" applyBorder="1" applyAlignment="1">
      <alignment vertical="center"/>
    </xf>
    <xf numFmtId="8" fontId="193" fillId="0" borderId="11" xfId="0" applyNumberFormat="1" applyFont="1" applyBorder="1" applyAlignment="1">
      <alignment horizontal="center" vertical="center"/>
    </xf>
    <xf numFmtId="8" fontId="110" fillId="0" borderId="97" xfId="0" applyNumberFormat="1" applyFont="1" applyBorder="1" applyAlignment="1">
      <alignment horizontal="center" vertical="center"/>
    </xf>
    <xf numFmtId="8" fontId="110" fillId="0" borderId="98" xfId="0" applyNumberFormat="1" applyFont="1" applyBorder="1" applyAlignment="1">
      <alignment horizontal="center" vertical="center"/>
    </xf>
    <xf numFmtId="8" fontId="189" fillId="0" borderId="11" xfId="0" applyNumberFormat="1" applyFont="1" applyBorder="1" applyAlignment="1">
      <alignment horizontal="center" vertical="center"/>
    </xf>
    <xf numFmtId="8" fontId="110" fillId="0" borderId="11" xfId="0" applyNumberFormat="1" applyFont="1" applyBorder="1" applyAlignment="1">
      <alignment horizontal="center" vertical="center"/>
    </xf>
    <xf numFmtId="0" fontId="187" fillId="43" borderId="42" xfId="0" applyFont="1" applyFill="1" applyBorder="1" applyAlignment="1">
      <alignment horizontal="right" vertical="center"/>
    </xf>
    <xf numFmtId="0" fontId="187" fillId="43" borderId="11" xfId="0" applyFont="1" applyFill="1" applyBorder="1" applyAlignment="1">
      <alignment horizontal="right" vertical="center"/>
    </xf>
    <xf numFmtId="0" fontId="187" fillId="44" borderId="0" xfId="0" applyFont="1" applyFill="1" applyAlignment="1">
      <alignment horizontal="right" vertical="center"/>
    </xf>
    <xf numFmtId="0" fontId="0" fillId="44" borderId="42" xfId="0" applyFill="1" applyBorder="1"/>
    <xf numFmtId="44" fontId="4" fillId="0" borderId="16" xfId="28" applyFont="1" applyFill="1" applyBorder="1" applyAlignment="1">
      <alignment horizontal="center" vertical="center"/>
    </xf>
    <xf numFmtId="49" fontId="2" fillId="0" borderId="0" xfId="0" applyNumberFormat="1" applyFont="1" applyAlignment="1">
      <alignment horizontal="right" vertical="center"/>
    </xf>
    <xf numFmtId="14" fontId="2" fillId="38" borderId="0" xfId="0" applyNumberFormat="1" applyFont="1" applyFill="1" applyAlignment="1">
      <alignment horizontal="center" vertical="center"/>
    </xf>
    <xf numFmtId="0" fontId="2" fillId="38" borderId="0" xfId="0" applyFont="1" applyFill="1" applyAlignment="1">
      <alignment horizontal="right" vertical="center"/>
    </xf>
    <xf numFmtId="8" fontId="189" fillId="0" borderId="11" xfId="54" applyNumberFormat="1" applyFont="1" applyFill="1" applyBorder="1" applyAlignment="1">
      <alignment horizontal="center" vertical="center"/>
    </xf>
    <xf numFmtId="9" fontId="4" fillId="0" borderId="16" xfId="0" applyNumberFormat="1" applyFont="1" applyBorder="1" applyAlignment="1">
      <alignment horizontal="center" vertical="center"/>
    </xf>
    <xf numFmtId="0" fontId="4" fillId="0" borderId="30" xfId="28" applyNumberFormat="1" applyFont="1" applyFill="1" applyBorder="1" applyAlignment="1">
      <alignment horizontal="center" vertical="center" wrapText="1"/>
    </xf>
    <xf numFmtId="0" fontId="4" fillId="0" borderId="55" xfId="28" applyNumberFormat="1" applyFont="1" applyFill="1" applyBorder="1" applyAlignment="1">
      <alignment horizontal="center" vertical="center" wrapText="1"/>
    </xf>
    <xf numFmtId="8" fontId="6" fillId="0" borderId="21" xfId="28" applyNumberFormat="1" applyFont="1" applyBorder="1"/>
    <xf numFmtId="14" fontId="5" fillId="61" borderId="16" xfId="0" applyNumberFormat="1" applyFont="1" applyFill="1" applyBorder="1" applyAlignment="1">
      <alignment horizontal="center" vertical="center"/>
    </xf>
    <xf numFmtId="0" fontId="4" fillId="64" borderId="16" xfId="0" applyFont="1" applyFill="1" applyBorder="1" applyAlignment="1">
      <alignment horizontal="center" vertical="center"/>
    </xf>
    <xf numFmtId="14" fontId="4" fillId="64" borderId="16" xfId="0" applyNumberFormat="1" applyFont="1" applyFill="1" applyBorder="1" applyAlignment="1">
      <alignment horizontal="center" vertical="center"/>
    </xf>
    <xf numFmtId="14" fontId="4" fillId="29" borderId="16" xfId="0" applyNumberFormat="1" applyFont="1" applyFill="1" applyBorder="1" applyAlignment="1">
      <alignment horizontal="center" vertical="center"/>
    </xf>
    <xf numFmtId="0" fontId="5" fillId="64" borderId="16" xfId="0" applyFont="1" applyFill="1" applyBorder="1" applyAlignment="1">
      <alignment horizontal="center" vertical="center"/>
    </xf>
    <xf numFmtId="164" fontId="4" fillId="64" borderId="16" xfId="0" applyNumberFormat="1" applyFont="1" applyFill="1" applyBorder="1" applyAlignment="1">
      <alignment horizontal="center" vertical="center"/>
    </xf>
    <xf numFmtId="0" fontId="153" fillId="64" borderId="16" xfId="0" applyFont="1" applyFill="1" applyBorder="1" applyAlignment="1">
      <alignment horizontal="center" vertical="center"/>
    </xf>
    <xf numFmtId="0" fontId="4" fillId="0" borderId="25" xfId="0" applyFont="1" applyBorder="1" applyAlignment="1">
      <alignment horizontal="center"/>
    </xf>
    <xf numFmtId="0" fontId="4" fillId="0" borderId="90" xfId="0" applyFont="1" applyBorder="1" applyAlignment="1">
      <alignment horizontal="center"/>
    </xf>
    <xf numFmtId="0" fontId="4" fillId="0" borderId="93" xfId="0" applyFont="1" applyBorder="1" applyAlignment="1">
      <alignment horizontal="center"/>
    </xf>
    <xf numFmtId="0" fontId="5" fillId="29" borderId="16" xfId="0" applyFont="1" applyFill="1" applyBorder="1" applyAlignment="1">
      <alignment horizontal="center" vertical="center"/>
    </xf>
    <xf numFmtId="164" fontId="4" fillId="29" borderId="16" xfId="0" applyNumberFormat="1" applyFont="1" applyFill="1" applyBorder="1" applyAlignment="1">
      <alignment horizontal="center" vertical="center"/>
    </xf>
    <xf numFmtId="164" fontId="5" fillId="29" borderId="16" xfId="0" applyNumberFormat="1" applyFont="1" applyFill="1" applyBorder="1" applyAlignment="1">
      <alignment horizontal="center" vertical="center"/>
    </xf>
    <xf numFmtId="164" fontId="5" fillId="64" borderId="16" xfId="0" applyNumberFormat="1" applyFont="1" applyFill="1" applyBorder="1" applyAlignment="1">
      <alignment horizontal="center" vertical="center"/>
    </xf>
    <xf numFmtId="8" fontId="196" fillId="0" borderId="11" xfId="0" applyNumberFormat="1" applyFont="1" applyBorder="1" applyAlignment="1">
      <alignment horizontal="center" vertical="center"/>
    </xf>
    <xf numFmtId="14" fontId="27" fillId="0" borderId="0" xfId="0" applyNumberFormat="1" applyFont="1" applyAlignment="1">
      <alignment horizontal="center"/>
    </xf>
    <xf numFmtId="44" fontId="4" fillId="36" borderId="21" xfId="28" applyFont="1" applyFill="1" applyBorder="1"/>
    <xf numFmtId="44" fontId="32" fillId="66" borderId="21" xfId="28" applyFont="1" applyFill="1" applyBorder="1"/>
    <xf numFmtId="9" fontId="4" fillId="36" borderId="16" xfId="0" applyNumberFormat="1" applyFont="1" applyFill="1" applyBorder="1" applyAlignment="1">
      <alignment horizontal="center" vertical="center"/>
    </xf>
    <xf numFmtId="0" fontId="4" fillId="36" borderId="30" xfId="28" applyNumberFormat="1" applyFont="1" applyFill="1" applyBorder="1" applyAlignment="1">
      <alignment horizontal="center" vertical="center" wrapText="1"/>
    </xf>
    <xf numFmtId="164" fontId="4" fillId="36" borderId="0" xfId="28" applyNumberFormat="1" applyFont="1" applyFill="1" applyBorder="1" applyAlignment="1">
      <alignment horizontal="center" vertical="center" wrapText="1"/>
    </xf>
    <xf numFmtId="9" fontId="32" fillId="66" borderId="16" xfId="0" applyNumberFormat="1" applyFont="1" applyFill="1" applyBorder="1" applyAlignment="1">
      <alignment horizontal="center" vertical="center"/>
    </xf>
    <xf numFmtId="0" fontId="32" fillId="66" borderId="30" xfId="28" applyNumberFormat="1" applyFont="1" applyFill="1" applyBorder="1" applyAlignment="1">
      <alignment horizontal="center" vertical="center" wrapText="1"/>
    </xf>
    <xf numFmtId="164" fontId="32" fillId="66" borderId="0" xfId="28" applyNumberFormat="1" applyFont="1" applyFill="1" applyBorder="1" applyAlignment="1">
      <alignment horizontal="center" vertical="center" wrapText="1"/>
    </xf>
    <xf numFmtId="8" fontId="105" fillId="0" borderId="11" xfId="0" applyNumberFormat="1" applyFont="1" applyBorder="1" applyAlignment="1">
      <alignment horizontal="center" vertical="center"/>
    </xf>
    <xf numFmtId="0" fontId="164" fillId="38" borderId="16" xfId="0" applyFont="1" applyFill="1" applyBorder="1" applyAlignment="1">
      <alignment horizontal="center" vertical="center" wrapText="1"/>
    </xf>
    <xf numFmtId="0" fontId="164" fillId="36" borderId="16" xfId="0" applyFont="1" applyFill="1" applyBorder="1" applyAlignment="1">
      <alignment horizontal="center" vertical="center" wrapText="1"/>
    </xf>
    <xf numFmtId="0" fontId="197" fillId="66" borderId="16" xfId="0" applyFont="1" applyFill="1" applyBorder="1" applyAlignment="1">
      <alignment horizontal="center" vertical="center" wrapText="1"/>
    </xf>
    <xf numFmtId="0" fontId="197" fillId="30" borderId="16" xfId="0" applyFont="1" applyFill="1" applyBorder="1" applyAlignment="1">
      <alignment horizontal="center" vertical="center" wrapText="1"/>
    </xf>
    <xf numFmtId="9" fontId="32" fillId="30" borderId="16" xfId="0" applyNumberFormat="1" applyFont="1" applyFill="1" applyBorder="1" applyAlignment="1">
      <alignment horizontal="center" vertical="center"/>
    </xf>
    <xf numFmtId="0" fontId="32" fillId="30" borderId="30" xfId="28" applyNumberFormat="1" applyFont="1" applyFill="1" applyBorder="1" applyAlignment="1">
      <alignment horizontal="center" vertical="center" wrapText="1"/>
    </xf>
    <xf numFmtId="164" fontId="32" fillId="30" borderId="0" xfId="28" applyNumberFormat="1" applyFont="1" applyFill="1" applyBorder="1" applyAlignment="1">
      <alignment horizontal="center" vertical="center" wrapText="1"/>
    </xf>
    <xf numFmtId="0" fontId="198" fillId="59" borderId="0" xfId="0" applyFont="1" applyFill="1" applyAlignment="1">
      <alignment horizontal="left"/>
    </xf>
    <xf numFmtId="0" fontId="199" fillId="59" borderId="0" xfId="0" applyFont="1" applyFill="1" applyAlignment="1">
      <alignment horizontal="left"/>
    </xf>
    <xf numFmtId="0" fontId="2" fillId="59" borderId="0" xfId="0" applyFont="1" applyFill="1" applyAlignment="1">
      <alignment horizontal="left" vertical="center"/>
    </xf>
    <xf numFmtId="0" fontId="183" fillId="59" borderId="0" xfId="0" applyFont="1" applyFill="1" applyAlignment="1">
      <alignment horizontal="center" vertical="center"/>
    </xf>
    <xf numFmtId="0" fontId="200" fillId="59" borderId="0" xfId="0" applyFont="1" applyFill="1" applyAlignment="1">
      <alignment horizontal="center" vertical="center"/>
    </xf>
    <xf numFmtId="0" fontId="201" fillId="60" borderId="0" xfId="0" applyFont="1" applyFill="1"/>
    <xf numFmtId="3" fontId="5" fillId="0" borderId="0" xfId="0" applyNumberFormat="1" applyFont="1"/>
    <xf numFmtId="164" fontId="71" fillId="0" borderId="0" xfId="0" applyNumberFormat="1" applyFont="1" applyAlignment="1">
      <alignment horizontal="center" vertical="center"/>
    </xf>
    <xf numFmtId="164" fontId="6" fillId="0" borderId="21" xfId="28" applyNumberFormat="1" applyFont="1" applyBorder="1" applyAlignment="1">
      <alignment horizontal="center" vertical="center"/>
    </xf>
    <xf numFmtId="0" fontId="4" fillId="0" borderId="67" xfId="0" applyFont="1" applyBorder="1" applyAlignment="1">
      <alignment horizontal="center" vertical="center"/>
    </xf>
    <xf numFmtId="8" fontId="2" fillId="30" borderId="0" xfId="0" applyNumberFormat="1" applyFont="1" applyFill="1"/>
    <xf numFmtId="0" fontId="153" fillId="26" borderId="0" xfId="0" applyFont="1" applyFill="1" applyAlignment="1">
      <alignment horizontal="center" vertical="center"/>
    </xf>
    <xf numFmtId="0" fontId="4" fillId="26" borderId="0" xfId="0" applyFont="1" applyFill="1" applyAlignment="1">
      <alignment horizontal="center" vertical="center"/>
    </xf>
    <xf numFmtId="164" fontId="2" fillId="26" borderId="16" xfId="28" applyNumberFormat="1" applyFont="1" applyFill="1" applyBorder="1" applyAlignment="1">
      <alignment horizontal="center" vertical="center"/>
    </xf>
    <xf numFmtId="164" fontId="56" fillId="0" borderId="44" xfId="28" applyNumberFormat="1" applyFont="1" applyBorder="1" applyAlignment="1">
      <alignment horizontal="center" vertical="center"/>
    </xf>
    <xf numFmtId="8" fontId="46" fillId="59" borderId="0" xfId="0" applyNumberFormat="1" applyFont="1" applyFill="1" applyAlignment="1">
      <alignment horizontal="center"/>
    </xf>
    <xf numFmtId="0" fontId="197" fillId="30" borderId="36" xfId="0" applyFont="1" applyFill="1" applyBorder="1" applyAlignment="1">
      <alignment horizontal="right"/>
    </xf>
    <xf numFmtId="8" fontId="105" fillId="59" borderId="47" xfId="0" applyNumberFormat="1" applyFont="1" applyFill="1" applyBorder="1" applyAlignment="1">
      <alignment horizontal="center"/>
    </xf>
    <xf numFmtId="164" fontId="93" fillId="40" borderId="44" xfId="28" applyNumberFormat="1" applyFont="1" applyFill="1" applyBorder="1" applyAlignment="1">
      <alignment horizontal="center" vertical="center"/>
    </xf>
    <xf numFmtId="164" fontId="105" fillId="26" borderId="16" xfId="28" applyNumberFormat="1" applyFont="1" applyFill="1" applyBorder="1" applyAlignment="1">
      <alignment horizontal="center" vertical="center"/>
    </xf>
    <xf numFmtId="8" fontId="114" fillId="59" borderId="47" xfId="0" applyNumberFormat="1" applyFont="1" applyFill="1" applyBorder="1" applyAlignment="1">
      <alignment horizontal="center"/>
    </xf>
    <xf numFmtId="164" fontId="85" fillId="0" borderId="44" xfId="28" applyNumberFormat="1" applyFont="1" applyFill="1" applyBorder="1" applyAlignment="1">
      <alignment horizontal="center" vertical="center"/>
    </xf>
    <xf numFmtId="164" fontId="56" fillId="0" borderId="44" xfId="28" applyNumberFormat="1" applyFont="1" applyFill="1" applyBorder="1" applyAlignment="1">
      <alignment horizontal="center" vertical="center"/>
    </xf>
    <xf numFmtId="8" fontId="56" fillId="59" borderId="47" xfId="0" applyNumberFormat="1" applyFont="1" applyFill="1" applyBorder="1" applyAlignment="1">
      <alignment horizontal="center"/>
    </xf>
    <xf numFmtId="8" fontId="114" fillId="59" borderId="50" xfId="0" applyNumberFormat="1" applyFont="1" applyFill="1" applyBorder="1" applyAlignment="1">
      <alignment horizontal="center"/>
    </xf>
    <xf numFmtId="0" fontId="4" fillId="26" borderId="36" xfId="0" applyFont="1" applyFill="1" applyBorder="1" applyAlignment="1">
      <alignment horizontal="right"/>
    </xf>
    <xf numFmtId="8" fontId="105" fillId="26" borderId="16" xfId="0" applyNumberFormat="1" applyFont="1" applyFill="1" applyBorder="1" applyAlignment="1">
      <alignment horizontal="center"/>
    </xf>
    <xf numFmtId="0" fontId="100" fillId="30" borderId="72" xfId="0" applyFont="1" applyFill="1" applyBorder="1" applyAlignment="1">
      <alignment horizontal="right" vertical="center"/>
    </xf>
    <xf numFmtId="8" fontId="46" fillId="30" borderId="42" xfId="0" applyNumberFormat="1" applyFont="1" applyFill="1" applyBorder="1" applyAlignment="1">
      <alignment horizontal="center"/>
    </xf>
    <xf numFmtId="0" fontId="100" fillId="30" borderId="56" xfId="0" applyFont="1" applyFill="1" applyBorder="1" applyAlignment="1">
      <alignment horizontal="right" vertical="center"/>
    </xf>
    <xf numFmtId="164" fontId="6" fillId="30" borderId="56" xfId="0" applyNumberFormat="1" applyFont="1" applyFill="1" applyBorder="1" applyAlignment="1">
      <alignment horizontal="center" vertical="center"/>
    </xf>
    <xf numFmtId="0" fontId="50" fillId="30" borderId="56" xfId="0" applyFont="1" applyFill="1" applyBorder="1" applyAlignment="1">
      <alignment horizontal="center"/>
    </xf>
    <xf numFmtId="0" fontId="50" fillId="30" borderId="73" xfId="0" applyFont="1" applyFill="1" applyBorder="1" applyAlignment="1">
      <alignment horizontal="center"/>
    </xf>
    <xf numFmtId="0" fontId="202" fillId="26" borderId="99" xfId="0" applyFont="1" applyFill="1" applyBorder="1" applyAlignment="1">
      <alignment vertical="center" wrapText="1"/>
    </xf>
    <xf numFmtId="0" fontId="202" fillId="38" borderId="100" xfId="0" applyFont="1" applyFill="1" applyBorder="1" applyAlignment="1">
      <alignment horizontal="center" vertical="center" wrapText="1"/>
    </xf>
    <xf numFmtId="0" fontId="202" fillId="48" borderId="100" xfId="0" applyFont="1" applyFill="1" applyBorder="1" applyAlignment="1">
      <alignment horizontal="center" vertical="center" wrapText="1"/>
    </xf>
    <xf numFmtId="0" fontId="202" fillId="41" borderId="100" xfId="0" applyFont="1" applyFill="1" applyBorder="1" applyAlignment="1">
      <alignment vertical="center" wrapText="1"/>
    </xf>
    <xf numFmtId="169" fontId="203" fillId="0" borderId="0" xfId="0" applyNumberFormat="1" applyFont="1" applyAlignment="1">
      <alignment horizontal="center" vertical="center"/>
    </xf>
    <xf numFmtId="0" fontId="202" fillId="26" borderId="101" xfId="0" applyFont="1" applyFill="1" applyBorder="1" applyAlignment="1">
      <alignment vertical="center" wrapText="1"/>
    </xf>
    <xf numFmtId="164" fontId="202" fillId="38" borderId="102" xfId="0" applyNumberFormat="1" applyFont="1" applyFill="1" applyBorder="1" applyAlignment="1">
      <alignment vertical="center" wrapText="1"/>
    </xf>
    <xf numFmtId="0" fontId="202" fillId="48" borderId="102" xfId="0" applyFont="1" applyFill="1" applyBorder="1" applyAlignment="1">
      <alignment vertical="center" wrapText="1"/>
    </xf>
    <xf numFmtId="0" fontId="202" fillId="41" borderId="102" xfId="0" applyFont="1" applyFill="1" applyBorder="1" applyAlignment="1">
      <alignment vertical="center" wrapText="1"/>
    </xf>
    <xf numFmtId="10" fontId="202" fillId="48" borderId="102" xfId="0" applyNumberFormat="1" applyFont="1" applyFill="1" applyBorder="1" applyAlignment="1">
      <alignment vertical="center" wrapText="1"/>
    </xf>
    <xf numFmtId="164" fontId="202" fillId="41" borderId="102" xfId="0" applyNumberFormat="1" applyFont="1" applyFill="1" applyBorder="1" applyAlignment="1">
      <alignment horizontal="center" vertical="center" wrapText="1"/>
    </xf>
    <xf numFmtId="9" fontId="202" fillId="48" borderId="102" xfId="0" applyNumberFormat="1" applyFont="1" applyFill="1" applyBorder="1" applyAlignment="1">
      <alignment vertical="center" wrapText="1"/>
    </xf>
    <xf numFmtId="0" fontId="46" fillId="0" borderId="67" xfId="0" applyFont="1" applyBorder="1" applyAlignment="1">
      <alignment horizontal="center"/>
    </xf>
    <xf numFmtId="0" fontId="46" fillId="26" borderId="67" xfId="0" applyFont="1" applyFill="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204" fillId="26" borderId="0" xfId="0" applyFont="1" applyFill="1" applyAlignment="1">
      <alignment horizontal="center" vertical="center"/>
    </xf>
    <xf numFmtId="164" fontId="51" fillId="0" borderId="0" xfId="0" applyNumberFormat="1" applyFont="1" applyAlignment="1">
      <alignment horizontal="center" vertical="center"/>
    </xf>
    <xf numFmtId="0" fontId="51" fillId="32" borderId="0" xfId="0" applyFont="1" applyFill="1" applyAlignment="1">
      <alignment horizontal="center" vertical="center"/>
    </xf>
    <xf numFmtId="164" fontId="61" fillId="26" borderId="44" xfId="28" applyNumberFormat="1" applyFont="1" applyFill="1" applyBorder="1" applyAlignment="1">
      <alignment horizontal="center" vertical="center"/>
    </xf>
    <xf numFmtId="6" fontId="165" fillId="41" borderId="16" xfId="0" applyNumberFormat="1" applyFont="1" applyFill="1" applyBorder="1" applyAlignment="1">
      <alignment horizontal="center"/>
    </xf>
    <xf numFmtId="169" fontId="46" fillId="0" borderId="0" xfId="54" applyNumberFormat="1" applyFont="1" applyAlignment="1">
      <alignment horizontal="center" vertical="center"/>
    </xf>
    <xf numFmtId="169" fontId="0" fillId="0" borderId="0" xfId="54" applyNumberFormat="1" applyFont="1" applyAlignment="1">
      <alignment horizontal="center" vertical="center"/>
    </xf>
    <xf numFmtId="0" fontId="51" fillId="0" borderId="0" xfId="0" applyFont="1" applyAlignment="1">
      <alignment horizontal="center" vertical="center"/>
    </xf>
    <xf numFmtId="0" fontId="205" fillId="0" borderId="0" xfId="0" applyFont="1" applyAlignment="1">
      <alignment horizontal="center"/>
    </xf>
    <xf numFmtId="164" fontId="165" fillId="0" borderId="0" xfId="0" applyNumberFormat="1" applyFont="1" applyAlignment="1">
      <alignment horizontal="center" vertical="center"/>
    </xf>
    <xf numFmtId="171" fontId="165" fillId="48" borderId="16" xfId="47" applyNumberFormat="1" applyFont="1" applyFill="1" applyBorder="1" applyAlignment="1">
      <alignment horizontal="center" vertical="center"/>
    </xf>
    <xf numFmtId="164" fontId="165" fillId="0" borderId="0" xfId="54" applyNumberFormat="1" applyFont="1" applyAlignment="1">
      <alignment horizontal="center" vertical="center"/>
    </xf>
    <xf numFmtId="8" fontId="0" fillId="0" borderId="0" xfId="0" applyNumberFormat="1" applyAlignment="1">
      <alignment horizontal="center"/>
    </xf>
    <xf numFmtId="164" fontId="165" fillId="0" borderId="0" xfId="0" applyNumberFormat="1" applyFont="1" applyAlignment="1">
      <alignment horizontal="center"/>
    </xf>
    <xf numFmtId="164" fontId="165" fillId="38" borderId="16" xfId="0" applyNumberFormat="1" applyFont="1" applyFill="1" applyBorder="1" applyAlignment="1">
      <alignment horizontal="center" vertical="center"/>
    </xf>
    <xf numFmtId="164" fontId="68" fillId="0" borderId="0" xfId="0" applyNumberFormat="1" applyFont="1" applyAlignment="1">
      <alignment horizontal="center" vertical="center"/>
    </xf>
    <xf numFmtId="164" fontId="206" fillId="0" borderId="0" xfId="0" applyNumberFormat="1" applyFont="1" applyAlignment="1">
      <alignment horizontal="center"/>
    </xf>
    <xf numFmtId="0" fontId="51" fillId="40" borderId="0" xfId="0" applyFont="1" applyFill="1"/>
    <xf numFmtId="0" fontId="52" fillId="40" borderId="0" xfId="0" applyFont="1" applyFill="1" applyAlignment="1">
      <alignment horizontal="center"/>
    </xf>
    <xf numFmtId="0" fontId="52" fillId="40" borderId="0" xfId="0" applyFont="1" applyFill="1" applyAlignment="1">
      <alignment horizontal="right"/>
    </xf>
    <xf numFmtId="8" fontId="52" fillId="40" borderId="0" xfId="0" applyNumberFormat="1" applyFont="1" applyFill="1" applyAlignment="1">
      <alignment horizontal="center"/>
    </xf>
    <xf numFmtId="0" fontId="52" fillId="40" borderId="0" xfId="0" applyFont="1" applyFill="1" applyAlignment="1">
      <alignment horizontal="left"/>
    </xf>
    <xf numFmtId="0" fontId="49" fillId="0" borderId="0" xfId="0" applyFont="1" applyAlignment="1">
      <alignment horizontal="center"/>
    </xf>
    <xf numFmtId="0" fontId="173" fillId="0" borderId="0" xfId="0" applyFont="1" applyAlignment="1">
      <alignment horizontal="center"/>
    </xf>
    <xf numFmtId="0" fontId="161" fillId="40" borderId="0" xfId="0" applyFont="1" applyFill="1" applyAlignment="1">
      <alignment horizontal="center" vertical="center"/>
    </xf>
    <xf numFmtId="164" fontId="56" fillId="0" borderId="0" xfId="28" applyNumberFormat="1" applyFont="1" applyFill="1"/>
    <xf numFmtId="164" fontId="68" fillId="0" borderId="0" xfId="0" applyNumberFormat="1" applyFont="1" applyAlignment="1">
      <alignment horizontal="center"/>
    </xf>
    <xf numFmtId="164" fontId="56" fillId="67" borderId="0" xfId="0" applyNumberFormat="1" applyFont="1" applyFill="1" applyAlignment="1">
      <alignment horizontal="center" vertical="center"/>
    </xf>
    <xf numFmtId="164" fontId="47" fillId="27" borderId="16" xfId="0" applyNumberFormat="1" applyFont="1" applyFill="1" applyBorder="1" applyAlignment="1">
      <alignment horizontal="center" vertical="center"/>
    </xf>
    <xf numFmtId="0" fontId="47" fillId="40" borderId="0" xfId="0" applyFont="1" applyFill="1" applyAlignment="1">
      <alignment horizontal="center"/>
    </xf>
    <xf numFmtId="0" fontId="51" fillId="68" borderId="0" xfId="0" applyFont="1" applyFill="1" applyAlignment="1">
      <alignment horizontal="center" vertical="center" wrapText="1"/>
    </xf>
    <xf numFmtId="0" fontId="51" fillId="68" borderId="0" xfId="0" applyFont="1" applyFill="1" applyAlignment="1">
      <alignment horizontal="center" vertical="center"/>
    </xf>
    <xf numFmtId="0" fontId="51" fillId="68" borderId="0" xfId="0" applyFont="1" applyFill="1"/>
    <xf numFmtId="0" fontId="190" fillId="68" borderId="0" xfId="0" applyFont="1" applyFill="1"/>
    <xf numFmtId="164" fontId="190" fillId="68" borderId="0" xfId="28" applyNumberFormat="1" applyFont="1" applyFill="1"/>
    <xf numFmtId="0" fontId="190" fillId="69" borderId="0" xfId="0" applyFont="1" applyFill="1"/>
    <xf numFmtId="0" fontId="0" fillId="68" borderId="0" xfId="0" applyFill="1"/>
    <xf numFmtId="0" fontId="0" fillId="69" borderId="0" xfId="0" applyFill="1"/>
    <xf numFmtId="0" fontId="46" fillId="32" borderId="0" xfId="0" applyFont="1" applyFill="1" applyAlignment="1">
      <alignment horizontal="center" vertical="center"/>
    </xf>
    <xf numFmtId="0" fontId="51" fillId="68" borderId="0" xfId="0" applyFont="1" applyFill="1" applyAlignment="1">
      <alignment horizontal="right"/>
    </xf>
    <xf numFmtId="164" fontId="61" fillId="26" borderId="0" xfId="0" applyNumberFormat="1" applyFont="1" applyFill="1" applyAlignment="1">
      <alignment horizontal="center" vertical="center"/>
    </xf>
    <xf numFmtId="164" fontId="47" fillId="68" borderId="0" xfId="0" applyNumberFormat="1" applyFont="1" applyFill="1"/>
    <xf numFmtId="0" fontId="4" fillId="26" borderId="20" xfId="0" applyFont="1" applyFill="1" applyBorder="1" applyAlignment="1">
      <alignment horizontal="center"/>
    </xf>
    <xf numFmtId="0" fontId="1" fillId="27" borderId="0" xfId="0" applyFont="1" applyFill="1" applyAlignment="1">
      <alignment horizontal="center"/>
    </xf>
    <xf numFmtId="0" fontId="1" fillId="27" borderId="104" xfId="0" applyFont="1" applyFill="1" applyBorder="1" applyAlignment="1">
      <alignment horizontal="center"/>
    </xf>
    <xf numFmtId="44" fontId="4" fillId="0" borderId="90" xfId="28" applyFont="1" applyFill="1" applyBorder="1"/>
    <xf numFmtId="44" fontId="4" fillId="0" borderId="16" xfId="28" applyFont="1" applyBorder="1"/>
    <xf numFmtId="0" fontId="4" fillId="26" borderId="17" xfId="0" applyFont="1" applyFill="1" applyBorder="1" applyAlignment="1">
      <alignment horizontal="center"/>
    </xf>
    <xf numFmtId="0" fontId="4" fillId="32" borderId="20" xfId="0" applyFont="1" applyFill="1" applyBorder="1" applyAlignment="1">
      <alignment horizontal="center"/>
    </xf>
    <xf numFmtId="0" fontId="4" fillId="28" borderId="16" xfId="0" applyFont="1" applyFill="1" applyBorder="1" applyAlignment="1">
      <alignment horizontal="center" vertical="center"/>
    </xf>
    <xf numFmtId="44" fontId="6" fillId="0" borderId="21" xfId="28" applyFont="1" applyBorder="1"/>
    <xf numFmtId="164" fontId="6" fillId="0" borderId="21" xfId="28" applyNumberFormat="1" applyFont="1" applyBorder="1"/>
    <xf numFmtId="0" fontId="208" fillId="72" borderId="0" xfId="0" applyFont="1" applyFill="1" applyAlignment="1">
      <alignment horizontal="center" vertical="center" wrapText="1"/>
    </xf>
    <xf numFmtId="0" fontId="208" fillId="72" borderId="52" xfId="0" applyFont="1" applyFill="1" applyBorder="1" applyAlignment="1">
      <alignment horizontal="center" vertical="center" wrapText="1"/>
    </xf>
    <xf numFmtId="0" fontId="208" fillId="72" borderId="47" xfId="0" applyFont="1" applyFill="1" applyBorder="1" applyAlignment="1">
      <alignment horizontal="center" vertical="center" wrapText="1"/>
    </xf>
    <xf numFmtId="0" fontId="210" fillId="72" borderId="47" xfId="0" applyFont="1" applyFill="1" applyBorder="1" applyAlignment="1">
      <alignment horizontal="center" vertical="center" wrapText="1"/>
    </xf>
    <xf numFmtId="0" fontId="0" fillId="73" borderId="0" xfId="0" applyFill="1"/>
    <xf numFmtId="0" fontId="0" fillId="71" borderId="0" xfId="0" applyFill="1"/>
    <xf numFmtId="0" fontId="210" fillId="72" borderId="52" xfId="0" applyFont="1" applyFill="1" applyBorder="1" applyAlignment="1">
      <alignment horizontal="center" vertical="center" wrapText="1"/>
    </xf>
    <xf numFmtId="0" fontId="209" fillId="0" borderId="47" xfId="0" applyFont="1" applyBorder="1" applyAlignment="1">
      <alignment horizontal="center" vertical="center" wrapText="1"/>
    </xf>
    <xf numFmtId="0" fontId="0" fillId="71" borderId="112" xfId="0" applyFill="1" applyBorder="1" applyAlignment="1">
      <alignment horizontal="left" vertical="center" wrapText="1"/>
    </xf>
    <xf numFmtId="0" fontId="0" fillId="71" borderId="106" xfId="0" applyFill="1" applyBorder="1" applyAlignment="1">
      <alignment horizontal="left" vertical="center" wrapText="1"/>
    </xf>
    <xf numFmtId="0" fontId="0" fillId="71" borderId="0" xfId="0" applyFill="1" applyAlignment="1">
      <alignment horizontal="left" vertical="center" wrapText="1"/>
    </xf>
    <xf numFmtId="0" fontId="208" fillId="72" borderId="50" xfId="0" applyFont="1" applyFill="1" applyBorder="1" applyAlignment="1">
      <alignment horizontal="center" vertical="center" wrapText="1"/>
    </xf>
    <xf numFmtId="0" fontId="210" fillId="72" borderId="0" xfId="0" applyFont="1" applyFill="1" applyAlignment="1">
      <alignment horizontal="center" vertical="center" wrapText="1"/>
    </xf>
    <xf numFmtId="164" fontId="211" fillId="0" borderId="47" xfId="0" applyNumberFormat="1" applyFont="1" applyBorder="1" applyAlignment="1">
      <alignment horizontal="center" vertical="center" wrapText="1"/>
    </xf>
    <xf numFmtId="0" fontId="212" fillId="74" borderId="105" xfId="0" applyFont="1" applyFill="1" applyBorder="1" applyAlignment="1">
      <alignment horizontal="center" vertical="center" wrapText="1"/>
    </xf>
    <xf numFmtId="0" fontId="212" fillId="74" borderId="114" xfId="0" applyFont="1" applyFill="1" applyBorder="1" applyAlignment="1">
      <alignment horizontal="center" vertical="center" wrapText="1"/>
    </xf>
    <xf numFmtId="0" fontId="210" fillId="0" borderId="116" xfId="0" applyFont="1" applyBorder="1" applyAlignment="1">
      <alignment horizontal="right" vertical="center" wrapText="1"/>
    </xf>
    <xf numFmtId="164" fontId="214" fillId="74" borderId="108" xfId="0" applyNumberFormat="1" applyFont="1" applyFill="1" applyBorder="1" applyAlignment="1">
      <alignment horizontal="center" vertical="center" wrapText="1"/>
    </xf>
    <xf numFmtId="0" fontId="210" fillId="75" borderId="108" xfId="0" applyFont="1" applyFill="1" applyBorder="1" applyAlignment="1">
      <alignment horizontal="center" vertical="center" wrapText="1"/>
    </xf>
    <xf numFmtId="0" fontId="215" fillId="75" borderId="108" xfId="0" applyFont="1" applyFill="1" applyBorder="1" applyAlignment="1">
      <alignment horizontal="center" vertical="center" wrapText="1"/>
    </xf>
    <xf numFmtId="0" fontId="209" fillId="0" borderId="108" xfId="0" applyFont="1" applyBorder="1" applyAlignment="1">
      <alignment horizontal="center" vertical="center" wrapText="1"/>
    </xf>
    <xf numFmtId="164" fontId="216" fillId="75" borderId="108" xfId="0" applyNumberFormat="1" applyFont="1" applyFill="1" applyBorder="1" applyAlignment="1">
      <alignment horizontal="center" vertical="center" wrapText="1"/>
    </xf>
    <xf numFmtId="0" fontId="209" fillId="76" borderId="105" xfId="0" applyFont="1" applyFill="1" applyBorder="1" applyAlignment="1">
      <alignment horizontal="center" vertical="center" wrapText="1"/>
    </xf>
    <xf numFmtId="0" fontId="215" fillId="76" borderId="105" xfId="0" applyFont="1" applyFill="1" applyBorder="1" applyAlignment="1">
      <alignment horizontal="center" vertical="center" wrapText="1"/>
    </xf>
    <xf numFmtId="164" fontId="209" fillId="76" borderId="114" xfId="0" applyNumberFormat="1" applyFont="1" applyFill="1" applyBorder="1" applyAlignment="1">
      <alignment horizontal="center" vertical="center" wrapText="1"/>
    </xf>
    <xf numFmtId="0" fontId="210" fillId="72" borderId="108" xfId="0" applyFont="1" applyFill="1" applyBorder="1" applyAlignment="1">
      <alignment horizontal="center" vertical="center" wrapText="1"/>
    </xf>
    <xf numFmtId="0" fontId="210" fillId="0" borderId="0" xfId="0" applyFont="1" applyAlignment="1">
      <alignment horizontal="left" vertical="center" wrapText="1"/>
    </xf>
    <xf numFmtId="164" fontId="209" fillId="0" borderId="0" xfId="28" applyNumberFormat="1" applyFont="1" applyAlignment="1">
      <alignment horizontal="center" vertical="center"/>
    </xf>
    <xf numFmtId="0" fontId="208" fillId="0" borderId="0" xfId="0" applyFont="1" applyAlignment="1">
      <alignment horizontal="center" vertical="center" wrapText="1"/>
    </xf>
    <xf numFmtId="0" fontId="211" fillId="0" borderId="0" xfId="0" applyFont="1" applyAlignment="1">
      <alignment horizontal="center" vertical="center"/>
    </xf>
    <xf numFmtId="0" fontId="219" fillId="71" borderId="108" xfId="0" applyFont="1" applyFill="1" applyBorder="1" applyAlignment="1">
      <alignment horizontal="center" vertical="center" wrapText="1"/>
    </xf>
    <xf numFmtId="0" fontId="216" fillId="71" borderId="0" xfId="0" applyFont="1" applyFill="1" applyAlignment="1">
      <alignment horizontal="center" vertical="center"/>
    </xf>
    <xf numFmtId="0" fontId="0" fillId="72" borderId="0" xfId="0" applyFill="1"/>
    <xf numFmtId="0" fontId="210" fillId="0" borderId="0" xfId="0" applyFont="1" applyAlignment="1">
      <alignment horizontal="right"/>
    </xf>
    <xf numFmtId="0" fontId="221" fillId="0" borderId="0" xfId="0" applyFont="1"/>
    <xf numFmtId="0" fontId="210" fillId="75" borderId="121" xfId="0" applyFont="1" applyFill="1" applyBorder="1" applyAlignment="1">
      <alignment horizontal="center" vertical="center" wrapText="1"/>
    </xf>
    <xf numFmtId="0" fontId="0" fillId="0" borderId="121" xfId="0" applyBorder="1"/>
    <xf numFmtId="174" fontId="0" fillId="0" borderId="121" xfId="0" applyNumberFormat="1" applyBorder="1" applyAlignment="1">
      <alignment horizontal="right" vertical="center"/>
    </xf>
    <xf numFmtId="0" fontId="210" fillId="78" borderId="121" xfId="0" applyFont="1" applyFill="1" applyBorder="1" applyAlignment="1">
      <alignment horizontal="center" vertical="center" wrapText="1"/>
    </xf>
    <xf numFmtId="0" fontId="210" fillId="0" borderId="0" xfId="0" applyFont="1"/>
    <xf numFmtId="174" fontId="0" fillId="0" borderId="0" xfId="0" applyNumberFormat="1"/>
    <xf numFmtId="0" fontId="210" fillId="76" borderId="121" xfId="0" applyFont="1" applyFill="1" applyBorder="1" applyAlignment="1">
      <alignment horizontal="center" vertical="center" wrapText="1"/>
    </xf>
    <xf numFmtId="0" fontId="212" fillId="74" borderId="121" xfId="0" applyFont="1" applyFill="1" applyBorder="1" applyAlignment="1">
      <alignment horizontal="center" vertical="center" wrapText="1"/>
    </xf>
    <xf numFmtId="174" fontId="210" fillId="79" borderId="121" xfId="0" applyNumberFormat="1" applyFont="1" applyFill="1" applyBorder="1" applyAlignment="1">
      <alignment horizontal="right" vertical="center"/>
    </xf>
    <xf numFmtId="0" fontId="218" fillId="0" borderId="0" xfId="0" applyFont="1"/>
    <xf numFmtId="174" fontId="221" fillId="0" borderId="0" xfId="0" applyNumberFormat="1" applyFont="1" applyAlignment="1">
      <alignment horizontal="right" vertical="center"/>
    </xf>
    <xf numFmtId="174" fontId="218" fillId="0" borderId="0" xfId="0" applyNumberFormat="1" applyFont="1" applyAlignment="1">
      <alignment horizontal="right" vertical="center"/>
    </xf>
    <xf numFmtId="175" fontId="0" fillId="0" borderId="121" xfId="0" applyNumberFormat="1" applyBorder="1" applyAlignment="1">
      <alignment horizontal="right" vertical="center"/>
    </xf>
    <xf numFmtId="175" fontId="61" fillId="26" borderId="121" xfId="0" applyNumberFormat="1" applyFont="1" applyFill="1" applyBorder="1" applyAlignment="1">
      <alignment horizontal="right" vertical="center"/>
    </xf>
    <xf numFmtId="175" fontId="55" fillId="27" borderId="121" xfId="0" applyNumberFormat="1" applyFont="1" applyFill="1" applyBorder="1" applyAlignment="1">
      <alignment horizontal="right" vertical="center"/>
    </xf>
    <xf numFmtId="175" fontId="0" fillId="0" borderId="121" xfId="0" applyNumberFormat="1" applyBorder="1"/>
    <xf numFmtId="175" fontId="61" fillId="0" borderId="0" xfId="0" applyNumberFormat="1" applyFont="1"/>
    <xf numFmtId="175" fontId="61" fillId="0" borderId="121" xfId="0" applyNumberFormat="1" applyFont="1" applyBorder="1" applyAlignment="1">
      <alignment horizontal="right" vertical="center"/>
    </xf>
    <xf numFmtId="175" fontId="0" fillId="0" borderId="0" xfId="0" applyNumberFormat="1"/>
    <xf numFmtId="175" fontId="221" fillId="0" borderId="121" xfId="0" applyNumberFormat="1" applyFont="1" applyBorder="1" applyAlignment="1">
      <alignment horizontal="right" vertical="center"/>
    </xf>
    <xf numFmtId="175" fontId="105" fillId="0" borderId="121" xfId="0" applyNumberFormat="1" applyFont="1" applyBorder="1" applyAlignment="1">
      <alignment horizontal="right" vertical="center"/>
    </xf>
    <xf numFmtId="14" fontId="61" fillId="0" borderId="0" xfId="0" applyNumberFormat="1" applyFont="1" applyAlignment="1">
      <alignment horizontal="right"/>
    </xf>
    <xf numFmtId="0" fontId="211" fillId="0" borderId="47" xfId="0" applyFont="1" applyBorder="1" applyAlignment="1" applyProtection="1">
      <alignment horizontal="center" vertical="center"/>
      <protection locked="0"/>
    </xf>
    <xf numFmtId="0" fontId="4" fillId="81" borderId="16" xfId="0" applyFont="1" applyFill="1" applyBorder="1" applyAlignment="1">
      <alignment horizontal="center" vertical="center" wrapText="1"/>
    </xf>
    <xf numFmtId="0" fontId="4" fillId="81" borderId="16" xfId="28" applyNumberFormat="1" applyFont="1" applyFill="1" applyBorder="1" applyAlignment="1">
      <alignment horizontal="center" vertical="center" wrapText="1"/>
    </xf>
    <xf numFmtId="164" fontId="258" fillId="0" borderId="108" xfId="0" applyNumberFormat="1" applyFont="1" applyBorder="1" applyAlignment="1">
      <alignment horizontal="center" vertical="center" wrapText="1"/>
    </xf>
    <xf numFmtId="0" fontId="4" fillId="0" borderId="82" xfId="0" applyFont="1" applyBorder="1" applyAlignment="1">
      <alignment horizontal="center" vertical="center" wrapText="1"/>
    </xf>
    <xf numFmtId="0" fontId="233" fillId="82" borderId="16" xfId="0" applyFont="1" applyFill="1" applyBorder="1" applyAlignment="1">
      <alignment horizontal="center" vertical="center"/>
    </xf>
    <xf numFmtId="0" fontId="230" fillId="0" borderId="0" xfId="0" applyFont="1" applyAlignment="1">
      <alignment horizontal="center"/>
    </xf>
    <xf numFmtId="0" fontId="230" fillId="0" borderId="0" xfId="0" applyFont="1"/>
    <xf numFmtId="0" fontId="230" fillId="83" borderId="0" xfId="0" applyFont="1" applyFill="1"/>
    <xf numFmtId="49" fontId="259" fillId="0" borderId="0" xfId="0" applyNumberFormat="1" applyFont="1" applyAlignment="1">
      <alignment horizontal="center" vertical="center"/>
    </xf>
    <xf numFmtId="0" fontId="259" fillId="0" borderId="0" xfId="0" applyFont="1" applyAlignment="1">
      <alignment horizontal="center" vertical="center"/>
    </xf>
    <xf numFmtId="0" fontId="233" fillId="0" borderId="0" xfId="0" applyFont="1" applyAlignment="1">
      <alignment horizontal="center" vertical="center"/>
    </xf>
    <xf numFmtId="0" fontId="227" fillId="0" borderId="0" xfId="0" applyFont="1" applyAlignment="1">
      <alignment horizontal="center" vertical="center"/>
    </xf>
    <xf numFmtId="0" fontId="260" fillId="0" borderId="0" xfId="46" applyFont="1" applyFill="1" applyBorder="1" applyAlignment="1" applyProtection="1">
      <alignment horizontal="center" vertical="center"/>
    </xf>
    <xf numFmtId="0" fontId="227" fillId="0" borderId="56" xfId="0" applyFont="1" applyBorder="1" applyAlignment="1">
      <alignment horizontal="center" vertical="center"/>
    </xf>
    <xf numFmtId="0" fontId="227" fillId="84" borderId="16" xfId="0" applyFont="1" applyFill="1" applyBorder="1" applyAlignment="1">
      <alignment horizontal="center" vertical="center"/>
    </xf>
    <xf numFmtId="14" fontId="227" fillId="84" borderId="16" xfId="0" applyNumberFormat="1" applyFont="1" applyFill="1" applyBorder="1" applyAlignment="1" applyProtection="1">
      <alignment horizontal="center" vertical="center"/>
      <protection locked="0"/>
    </xf>
    <xf numFmtId="0" fontId="226" fillId="84" borderId="16" xfId="0" applyFont="1" applyFill="1" applyBorder="1" applyAlignment="1" applyProtection="1">
      <alignment horizontal="center" vertical="center"/>
      <protection locked="0"/>
    </xf>
    <xf numFmtId="0" fontId="261" fillId="82" borderId="16" xfId="0" applyFont="1" applyFill="1" applyBorder="1" applyAlignment="1">
      <alignment horizontal="center" vertical="center"/>
    </xf>
    <xf numFmtId="0" fontId="227" fillId="84" borderId="55" xfId="0" applyFont="1" applyFill="1" applyBorder="1" applyAlignment="1">
      <alignment horizontal="center" vertical="center"/>
    </xf>
    <xf numFmtId="14" fontId="262" fillId="0" borderId="0" xfId="0" applyNumberFormat="1" applyFont="1" applyAlignment="1">
      <alignment horizontal="center"/>
    </xf>
    <xf numFmtId="0" fontId="227" fillId="85" borderId="16" xfId="0" applyFont="1" applyFill="1" applyBorder="1" applyAlignment="1">
      <alignment horizontal="center" vertical="center"/>
    </xf>
    <xf numFmtId="14" fontId="227" fillId="85" borderId="16" xfId="0" applyNumberFormat="1" applyFont="1" applyFill="1" applyBorder="1" applyAlignment="1" applyProtection="1">
      <alignment horizontal="center" vertical="center"/>
      <protection locked="0"/>
    </xf>
    <xf numFmtId="0" fontId="226" fillId="85" borderId="16" xfId="0" applyFont="1" applyFill="1" applyBorder="1" applyAlignment="1" applyProtection="1">
      <alignment horizontal="center" vertical="center"/>
      <protection locked="0"/>
    </xf>
    <xf numFmtId="0" fontId="261" fillId="82" borderId="0" xfId="0" applyFont="1" applyFill="1" applyAlignment="1">
      <alignment horizontal="center" vertical="center"/>
    </xf>
    <xf numFmtId="0" fontId="263" fillId="0" borderId="0" xfId="0" applyFont="1" applyAlignment="1">
      <alignment horizontal="center" vertical="center"/>
    </xf>
    <xf numFmtId="49" fontId="264" fillId="0" borderId="0" xfId="0" applyNumberFormat="1" applyFont="1" applyAlignment="1">
      <alignment horizontal="center" vertical="center"/>
    </xf>
    <xf numFmtId="0" fontId="222" fillId="0" borderId="0" xfId="0" applyFont="1" applyAlignment="1">
      <alignment horizontal="left" vertical="center"/>
    </xf>
    <xf numFmtId="0" fontId="222" fillId="0" borderId="0" xfId="0" applyFont="1" applyAlignment="1">
      <alignment horizontal="center" vertical="center"/>
    </xf>
    <xf numFmtId="164" fontId="227" fillId="84" borderId="16" xfId="0" applyNumberFormat="1" applyFont="1" applyFill="1" applyBorder="1" applyAlignment="1" applyProtection="1">
      <alignment horizontal="center" vertical="center"/>
      <protection locked="0"/>
    </xf>
    <xf numFmtId="164" fontId="267" fillId="82" borderId="16" xfId="0" applyNumberFormat="1" applyFont="1" applyFill="1" applyBorder="1" applyAlignment="1">
      <alignment horizontal="center" vertical="center"/>
    </xf>
    <xf numFmtId="0" fontId="266" fillId="0" borderId="0" xfId="0" applyFont="1" applyAlignment="1">
      <alignment horizontal="center" vertical="center"/>
    </xf>
    <xf numFmtId="0" fontId="268" fillId="0" borderId="0" xfId="0" applyFont="1" applyAlignment="1">
      <alignment horizontal="right" vertical="center"/>
    </xf>
    <xf numFmtId="0" fontId="222" fillId="0" borderId="0" xfId="0" applyFont="1"/>
    <xf numFmtId="164" fontId="267" fillId="82" borderId="0" xfId="0" applyNumberFormat="1" applyFont="1" applyFill="1" applyAlignment="1">
      <alignment horizontal="center" vertical="center"/>
    </xf>
    <xf numFmtId="0" fontId="227" fillId="0" borderId="0" xfId="0" applyFont="1" applyAlignment="1">
      <alignment horizontal="center"/>
    </xf>
    <xf numFmtId="164" fontId="226" fillId="86" borderId="16" xfId="0" applyNumberFormat="1" applyFont="1" applyFill="1" applyBorder="1" applyAlignment="1" applyProtection="1">
      <alignment horizontal="center" vertical="center"/>
      <protection locked="0"/>
    </xf>
    <xf numFmtId="49" fontId="227" fillId="0" borderId="0" xfId="0" applyNumberFormat="1" applyFont="1" applyAlignment="1">
      <alignment horizontal="center" vertical="center"/>
    </xf>
    <xf numFmtId="164" fontId="227" fillId="0" borderId="0" xfId="0" applyNumberFormat="1" applyFont="1" applyAlignment="1">
      <alignment horizontal="center" vertical="center"/>
    </xf>
    <xf numFmtId="164" fontId="261" fillId="82" borderId="0" xfId="0" applyNumberFormat="1" applyFont="1" applyFill="1" applyAlignment="1">
      <alignment horizontal="center" vertical="center"/>
    </xf>
    <xf numFmtId="0" fontId="227" fillId="0" borderId="0" xfId="0" applyFont="1" applyAlignment="1">
      <alignment horizontal="left" vertical="center"/>
    </xf>
    <xf numFmtId="164" fontId="226" fillId="84" borderId="16" xfId="0" applyNumberFormat="1" applyFont="1" applyFill="1" applyBorder="1" applyAlignment="1" applyProtection="1">
      <alignment horizontal="center" vertical="center"/>
      <protection locked="0"/>
    </xf>
    <xf numFmtId="0" fontId="268" fillId="84" borderId="16" xfId="0" applyFont="1" applyFill="1" applyBorder="1" applyAlignment="1">
      <alignment horizontal="center" vertical="center"/>
    </xf>
    <xf numFmtId="0" fontId="268" fillId="84" borderId="16" xfId="0" applyFont="1" applyFill="1" applyBorder="1" applyAlignment="1" applyProtection="1">
      <alignment horizontal="center" vertical="center"/>
      <protection locked="0"/>
    </xf>
    <xf numFmtId="164" fontId="261" fillId="82" borderId="16" xfId="0" applyNumberFormat="1" applyFont="1" applyFill="1" applyBorder="1" applyAlignment="1">
      <alignment horizontal="center" vertical="center"/>
    </xf>
    <xf numFmtId="164" fontId="226" fillId="85" borderId="16" xfId="0" applyNumberFormat="1" applyFont="1" applyFill="1" applyBorder="1" applyAlignment="1" applyProtection="1">
      <alignment horizontal="center" vertical="center"/>
      <protection locked="0"/>
    </xf>
    <xf numFmtId="0" fontId="268" fillId="85" borderId="16" xfId="0" applyFont="1" applyFill="1" applyBorder="1" applyAlignment="1" applyProtection="1">
      <alignment horizontal="center" vertical="center"/>
      <protection locked="0"/>
    </xf>
    <xf numFmtId="164" fontId="258" fillId="0" borderId="0" xfId="0" applyNumberFormat="1" applyFont="1" applyAlignment="1">
      <alignment horizontal="center" vertical="center"/>
    </xf>
    <xf numFmtId="0" fontId="233" fillId="0" borderId="0" xfId="0" applyFont="1" applyAlignment="1">
      <alignment horizontal="center" vertical="center" wrapText="1"/>
    </xf>
    <xf numFmtId="0" fontId="227" fillId="84" borderId="82" xfId="0" applyFont="1" applyFill="1" applyBorder="1" applyAlignment="1">
      <alignment horizontal="center" vertical="center" wrapText="1"/>
    </xf>
    <xf numFmtId="0" fontId="227" fillId="85" borderId="16" xfId="0" applyFont="1" applyFill="1" applyBorder="1" applyAlignment="1">
      <alignment horizontal="center" vertical="center" wrapText="1"/>
    </xf>
    <xf numFmtId="0" fontId="227" fillId="0" borderId="16" xfId="0" applyFont="1" applyBorder="1" applyAlignment="1">
      <alignment horizontal="center" vertical="center" wrapText="1"/>
    </xf>
    <xf numFmtId="0" fontId="227" fillId="0" borderId="16" xfId="0" applyFont="1" applyBorder="1" applyAlignment="1" applyProtection="1">
      <alignment horizontal="center" vertical="center" wrapText="1"/>
      <protection locked="0"/>
    </xf>
    <xf numFmtId="0" fontId="258" fillId="88" borderId="16" xfId="0" applyFont="1" applyFill="1" applyBorder="1" applyAlignment="1">
      <alignment horizontal="center" vertical="center" wrapText="1"/>
    </xf>
    <xf numFmtId="0" fontId="233" fillId="87" borderId="16" xfId="0" applyFont="1" applyFill="1" applyBorder="1" applyAlignment="1">
      <alignment horizontal="center" vertical="center" wrapText="1"/>
    </xf>
    <xf numFmtId="0" fontId="227" fillId="83" borderId="16" xfId="0" applyFont="1" applyFill="1" applyBorder="1" applyAlignment="1">
      <alignment horizontal="center" vertical="center" wrapText="1"/>
    </xf>
    <xf numFmtId="0" fontId="227" fillId="83" borderId="0" xfId="0" applyFont="1" applyFill="1" applyAlignment="1">
      <alignment horizontal="center" vertical="center" wrapText="1"/>
    </xf>
    <xf numFmtId="0" fontId="227" fillId="0" borderId="0" xfId="0" applyFont="1" applyAlignment="1">
      <alignment horizontal="center" vertical="center" wrapText="1"/>
    </xf>
    <xf numFmtId="0" fontId="230" fillId="0" borderId="18" xfId="0" applyFont="1" applyBorder="1" applyAlignment="1">
      <alignment horizontal="center"/>
    </xf>
    <xf numFmtId="44" fontId="227" fillId="0" borderId="18" xfId="28" applyFont="1" applyBorder="1" applyAlignment="1">
      <alignment horizontal="center"/>
    </xf>
    <xf numFmtId="44" fontId="227" fillId="0" borderId="18" xfId="28" applyFont="1" applyBorder="1"/>
    <xf numFmtId="44" fontId="227" fillId="0" borderId="16" xfId="28" applyFont="1" applyBorder="1" applyAlignment="1">
      <alignment horizontal="center"/>
    </xf>
    <xf numFmtId="9" fontId="227" fillId="0" borderId="16" xfId="0" applyNumberFormat="1" applyFont="1" applyBorder="1" applyAlignment="1" applyProtection="1">
      <alignment horizontal="center" vertical="center"/>
      <protection locked="0"/>
    </xf>
    <xf numFmtId="44" fontId="227" fillId="0" borderId="67" xfId="28" applyFont="1" applyFill="1" applyBorder="1" applyAlignment="1">
      <alignment horizontal="center"/>
    </xf>
    <xf numFmtId="44" fontId="227" fillId="0" borderId="49" xfId="28" applyFont="1" applyFill="1" applyBorder="1" applyAlignment="1">
      <alignment horizontal="center"/>
    </xf>
    <xf numFmtId="0" fontId="227" fillId="0" borderId="16" xfId="28" applyNumberFormat="1" applyFont="1" applyBorder="1" applyAlignment="1">
      <alignment horizontal="center" vertical="center" wrapText="1"/>
    </xf>
    <xf numFmtId="0" fontId="227" fillId="0" borderId="16" xfId="28" applyNumberFormat="1" applyFont="1" applyFill="1" applyBorder="1" applyAlignment="1" applyProtection="1">
      <alignment horizontal="center" vertical="center" wrapText="1"/>
      <protection locked="0"/>
    </xf>
    <xf numFmtId="6" fontId="227" fillId="0" borderId="43" xfId="0" applyNumberFormat="1" applyFont="1" applyBorder="1" applyAlignment="1">
      <alignment horizontal="center" vertical="center" wrapText="1"/>
    </xf>
    <xf numFmtId="6" fontId="227" fillId="0" borderId="0" xfId="0" applyNumberFormat="1" applyFont="1" applyAlignment="1">
      <alignment horizontal="center" vertical="center" wrapText="1"/>
    </xf>
    <xf numFmtId="6" fontId="227" fillId="0" borderId="85" xfId="0" applyNumberFormat="1" applyFont="1" applyBorder="1" applyAlignment="1">
      <alignment horizontal="center" vertical="center" wrapText="1"/>
    </xf>
    <xf numFmtId="164" fontId="227" fillId="0" borderId="0" xfId="28" applyNumberFormat="1" applyFont="1" applyFill="1" applyBorder="1" applyAlignment="1">
      <alignment horizontal="center" vertical="center" wrapText="1"/>
    </xf>
    <xf numFmtId="164" fontId="227" fillId="0" borderId="0" xfId="28" applyNumberFormat="1" applyFont="1" applyFill="1" applyBorder="1" applyAlignment="1" applyProtection="1">
      <alignment horizontal="center" vertical="center" wrapText="1"/>
      <protection locked="0"/>
    </xf>
    <xf numFmtId="0" fontId="230" fillId="0" borderId="43" xfId="0" applyFont="1" applyBorder="1" applyAlignment="1">
      <alignment horizontal="center"/>
    </xf>
    <xf numFmtId="0" fontId="230" fillId="0" borderId="85" xfId="0" applyFont="1" applyBorder="1" applyAlignment="1">
      <alignment horizontal="center"/>
    </xf>
    <xf numFmtId="49" fontId="230" fillId="0" borderId="20" xfId="0" applyNumberFormat="1" applyFont="1" applyBorder="1" applyAlignment="1">
      <alignment horizontal="center"/>
    </xf>
    <xf numFmtId="0" fontId="227" fillId="0" borderId="23" xfId="0" applyFont="1" applyBorder="1" applyAlignment="1">
      <alignment horizontal="center"/>
    </xf>
    <xf numFmtId="0" fontId="227" fillId="0" borderId="20" xfId="0" applyFont="1" applyBorder="1" applyAlignment="1">
      <alignment horizontal="center"/>
    </xf>
    <xf numFmtId="44" fontId="227" fillId="0" borderId="21" xfId="28" applyFont="1" applyFill="1" applyBorder="1" applyProtection="1">
      <protection locked="0"/>
    </xf>
    <xf numFmtId="44" fontId="227" fillId="0" borderId="21" xfId="28" applyFont="1" applyFill="1" applyBorder="1" applyAlignment="1" applyProtection="1">
      <alignment horizontal="center" vertical="center"/>
      <protection locked="0"/>
    </xf>
    <xf numFmtId="44" fontId="227" fillId="83" borderId="21" xfId="28" applyFont="1" applyFill="1" applyBorder="1" applyProtection="1"/>
    <xf numFmtId="8" fontId="259" fillId="0" borderId="21" xfId="28" applyNumberFormat="1" applyFont="1" applyBorder="1"/>
    <xf numFmtId="0" fontId="230" fillId="0" borderId="20" xfId="0" applyFont="1" applyBorder="1" applyAlignment="1">
      <alignment horizontal="center"/>
    </xf>
    <xf numFmtId="0" fontId="227" fillId="0" borderId="17" xfId="0" applyFont="1" applyBorder="1" applyAlignment="1">
      <alignment horizontal="center"/>
    </xf>
    <xf numFmtId="0" fontId="227" fillId="0" borderId="18" xfId="0" applyFont="1" applyBorder="1" applyAlignment="1">
      <alignment horizontal="center"/>
    </xf>
    <xf numFmtId="8" fontId="271" fillId="0" borderId="21" xfId="28" applyNumberFormat="1" applyFont="1" applyBorder="1"/>
    <xf numFmtId="0" fontId="230" fillId="0" borderId="23" xfId="0" applyFont="1" applyBorder="1" applyAlignment="1">
      <alignment horizontal="center"/>
    </xf>
    <xf numFmtId="0" fontId="227" fillId="0" borderId="21" xfId="0" applyFont="1" applyBorder="1" applyAlignment="1">
      <alignment horizontal="center"/>
    </xf>
    <xf numFmtId="0" fontId="227" fillId="0" borderId="25" xfId="0" applyFont="1" applyBorder="1" applyAlignment="1">
      <alignment horizontal="center"/>
    </xf>
    <xf numFmtId="44" fontId="258" fillId="0" borderId="21" xfId="28" applyFont="1" applyFill="1" applyBorder="1" applyProtection="1">
      <protection locked="0"/>
    </xf>
    <xf numFmtId="44" fontId="227" fillId="83" borderId="21" xfId="28" applyFont="1" applyFill="1" applyBorder="1" applyProtection="1">
      <protection locked="0"/>
    </xf>
    <xf numFmtId="0" fontId="230" fillId="87" borderId="91" xfId="0" applyFont="1" applyFill="1" applyBorder="1" applyAlignment="1">
      <alignment horizontal="center"/>
    </xf>
    <xf numFmtId="0" fontId="230" fillId="87" borderId="22" xfId="0" applyFont="1" applyFill="1" applyBorder="1" applyAlignment="1">
      <alignment horizontal="center"/>
    </xf>
    <xf numFmtId="44" fontId="227" fillId="87" borderId="0" xfId="28" applyFont="1" applyFill="1" applyBorder="1" applyProtection="1">
      <protection locked="0"/>
    </xf>
    <xf numFmtId="164" fontId="1" fillId="87" borderId="0" xfId="28" applyNumberFormat="1" applyFill="1" applyBorder="1" applyAlignment="1">
      <alignment horizontal="center" vertical="center"/>
    </xf>
    <xf numFmtId="8" fontId="271" fillId="87" borderId="92" xfId="28" applyNumberFormat="1" applyFont="1" applyFill="1" applyBorder="1"/>
    <xf numFmtId="0" fontId="230" fillId="0" borderId="93" xfId="0" applyFont="1" applyBorder="1" applyAlignment="1">
      <alignment horizontal="center"/>
    </xf>
    <xf numFmtId="0" fontId="227" fillId="83" borderId="16" xfId="0" applyFont="1" applyFill="1" applyBorder="1" applyAlignment="1">
      <alignment horizontal="center" vertical="center"/>
    </xf>
    <xf numFmtId="0" fontId="227" fillId="0" borderId="90" xfId="0" applyFont="1" applyBorder="1" applyAlignment="1">
      <alignment horizontal="center"/>
    </xf>
    <xf numFmtId="0" fontId="230" fillId="0" borderId="17" xfId="0" applyFont="1" applyBorder="1" applyAlignment="1">
      <alignment horizontal="center"/>
    </xf>
    <xf numFmtId="44" fontId="227" fillId="0" borderId="18" xfId="28" applyFont="1" applyFill="1" applyBorder="1" applyProtection="1">
      <protection locked="0"/>
    </xf>
    <xf numFmtId="8" fontId="271" fillId="0" borderId="18" xfId="28" applyNumberFormat="1" applyFont="1" applyBorder="1"/>
    <xf numFmtId="0" fontId="230" fillId="0" borderId="21" xfId="0" applyFont="1" applyBorder="1" applyAlignment="1">
      <alignment horizontal="center"/>
    </xf>
    <xf numFmtId="0" fontId="227" fillId="0" borderId="93" xfId="0" applyFont="1" applyBorder="1" applyAlignment="1">
      <alignment horizontal="center"/>
    </xf>
    <xf numFmtId="0" fontId="227" fillId="83" borderId="16" xfId="0" applyFont="1" applyFill="1" applyBorder="1" applyAlignment="1">
      <alignment horizontal="center"/>
    </xf>
    <xf numFmtId="164" fontId="216" fillId="88" borderId="108" xfId="0" applyNumberFormat="1" applyFont="1" applyFill="1" applyBorder="1" applyAlignment="1">
      <alignment horizontal="center" vertical="center" wrapText="1"/>
    </xf>
    <xf numFmtId="1" fontId="226" fillId="84" borderId="16" xfId="0" applyNumberFormat="1" applyFont="1" applyFill="1" applyBorder="1" applyAlignment="1">
      <alignment horizontal="center" vertical="center"/>
    </xf>
    <xf numFmtId="164" fontId="267" fillId="83" borderId="16" xfId="0" applyNumberFormat="1" applyFont="1" applyFill="1" applyBorder="1" applyAlignment="1">
      <alignment horizontal="center" vertical="center"/>
    </xf>
    <xf numFmtId="164" fontId="227" fillId="83" borderId="16" xfId="0" applyNumberFormat="1" applyFont="1" applyFill="1" applyBorder="1" applyAlignment="1" applyProtection="1">
      <alignment horizontal="center" vertical="center"/>
      <protection locked="0"/>
    </xf>
    <xf numFmtId="0" fontId="268" fillId="90" borderId="16" xfId="0" applyFont="1" applyFill="1" applyBorder="1" applyAlignment="1">
      <alignment horizontal="center" vertical="center"/>
    </xf>
    <xf numFmtId="0" fontId="227" fillId="83" borderId="16" xfId="0" applyFont="1" applyFill="1" applyBorder="1" applyAlignment="1" applyProtection="1">
      <alignment horizontal="center" vertical="center" wrapText="1"/>
      <protection locked="0"/>
    </xf>
    <xf numFmtId="9" fontId="227" fillId="83" borderId="16" xfId="0" applyNumberFormat="1" applyFont="1" applyFill="1" applyBorder="1" applyAlignment="1" applyProtection="1">
      <alignment horizontal="center" vertical="center"/>
      <protection locked="0"/>
    </xf>
    <xf numFmtId="0" fontId="227" fillId="83" borderId="55" xfId="28" applyNumberFormat="1" applyFont="1" applyFill="1" applyBorder="1" applyAlignment="1" applyProtection="1">
      <alignment horizontal="center" vertical="center" wrapText="1"/>
      <protection locked="0"/>
    </xf>
    <xf numFmtId="164" fontId="227" fillId="83" borderId="0" xfId="28" applyNumberFormat="1" applyFont="1" applyFill="1" applyBorder="1" applyAlignment="1" applyProtection="1">
      <alignment horizontal="center" vertical="center" wrapText="1"/>
      <protection locked="0"/>
    </xf>
    <xf numFmtId="0" fontId="227" fillId="83" borderId="16" xfId="28" applyNumberFormat="1" applyFont="1" applyFill="1" applyBorder="1" applyAlignment="1" applyProtection="1">
      <alignment horizontal="center" vertical="center" wrapText="1"/>
      <protection locked="0"/>
    </xf>
    <xf numFmtId="0" fontId="61" fillId="0" borderId="0" xfId="0" applyFont="1" applyAlignment="1">
      <alignment horizontal="center" vertical="center" wrapText="1"/>
    </xf>
    <xf numFmtId="164" fontId="209" fillId="0" borderId="0" xfId="0" applyNumberFormat="1" applyFont="1" applyAlignment="1">
      <alignment horizontal="center"/>
    </xf>
    <xf numFmtId="0" fontId="5" fillId="90" borderId="16" xfId="0" applyFont="1" applyFill="1" applyBorder="1" applyAlignment="1">
      <alignment horizontal="center" vertical="center"/>
    </xf>
    <xf numFmtId="0" fontId="227" fillId="64" borderId="16" xfId="0" applyFont="1" applyFill="1" applyBorder="1" applyAlignment="1">
      <alignment horizontal="center" vertical="center"/>
    </xf>
    <xf numFmtId="164" fontId="178" fillId="0" borderId="16" xfId="0" applyNumberFormat="1" applyFont="1" applyBorder="1" applyAlignment="1">
      <alignment horizontal="center" vertical="center"/>
    </xf>
    <xf numFmtId="0" fontId="268" fillId="64" borderId="16" xfId="0" applyFont="1" applyFill="1" applyBorder="1" applyAlignment="1">
      <alignment horizontal="center" vertical="center"/>
    </xf>
    <xf numFmtId="0" fontId="227" fillId="0" borderId="82" xfId="0" applyFont="1" applyBorder="1" applyAlignment="1">
      <alignment horizontal="center" vertical="center" wrapText="1"/>
    </xf>
    <xf numFmtId="0" fontId="4" fillId="0" borderId="67" xfId="0" applyFont="1" applyBorder="1" applyAlignment="1">
      <alignment horizontal="center"/>
    </xf>
    <xf numFmtId="0" fontId="276" fillId="72" borderId="108" xfId="0" applyFont="1" applyFill="1" applyBorder="1" applyAlignment="1">
      <alignment horizontal="center" vertical="center" wrapText="1"/>
    </xf>
    <xf numFmtId="0" fontId="0" fillId="0" borderId="11" xfId="0" applyBorder="1"/>
    <xf numFmtId="0" fontId="0" fillId="0" borderId="12" xfId="0" applyBorder="1"/>
    <xf numFmtId="0" fontId="208" fillId="71" borderId="105" xfId="0" applyFont="1" applyFill="1" applyBorder="1" applyAlignment="1">
      <alignment horizontal="center" vertical="center" wrapText="1"/>
    </xf>
    <xf numFmtId="0" fontId="0" fillId="0" borderId="106" xfId="0" applyBorder="1"/>
    <xf numFmtId="0" fontId="0" fillId="0" borderId="107" xfId="0" applyBorder="1"/>
    <xf numFmtId="14" fontId="209" fillId="72" borderId="0" xfId="0" applyNumberFormat="1" applyFont="1" applyFill="1" applyAlignment="1">
      <alignment horizontal="center"/>
    </xf>
    <xf numFmtId="0" fontId="0" fillId="0" borderId="0" xfId="0"/>
    <xf numFmtId="0" fontId="208" fillId="72" borderId="0" xfId="0" applyFont="1" applyFill="1" applyAlignment="1">
      <alignment horizontal="center" vertical="center" wrapText="1"/>
    </xf>
    <xf numFmtId="0" fontId="0" fillId="71" borderId="0" xfId="0" applyFill="1" applyAlignment="1">
      <alignment horizontal="center"/>
    </xf>
    <xf numFmtId="0" fontId="208" fillId="71" borderId="108" xfId="0" applyFont="1" applyFill="1" applyBorder="1" applyAlignment="1">
      <alignment horizontal="center" vertical="center" wrapText="1"/>
    </xf>
    <xf numFmtId="0" fontId="0" fillId="0" borderId="109" xfId="0" applyBorder="1"/>
    <xf numFmtId="0" fontId="0" fillId="0" borderId="110" xfId="0" applyBorder="1"/>
    <xf numFmtId="0" fontId="208" fillId="71" borderId="47" xfId="0" applyFont="1" applyFill="1" applyBorder="1" applyAlignment="1">
      <alignment horizontal="center" vertical="center" wrapText="1"/>
    </xf>
    <xf numFmtId="0" fontId="209" fillId="72" borderId="47" xfId="0" applyFont="1" applyFill="1" applyBorder="1" applyAlignment="1">
      <alignment horizontal="center" vertical="center"/>
    </xf>
    <xf numFmtId="0" fontId="211" fillId="71" borderId="0" xfId="0" applyFont="1" applyFill="1" applyAlignment="1">
      <alignment vertical="center" wrapText="1"/>
    </xf>
    <xf numFmtId="0" fontId="208" fillId="72" borderId="47" xfId="0" applyFont="1" applyFill="1" applyBorder="1" applyAlignment="1">
      <alignment horizontal="center" vertical="center" wrapText="1"/>
    </xf>
    <xf numFmtId="0" fontId="0" fillId="71" borderId="113" xfId="0" applyFill="1" applyBorder="1" applyAlignment="1">
      <alignment horizontal="left" vertical="center" wrapText="1"/>
    </xf>
    <xf numFmtId="0" fontId="0" fillId="0" borderId="113" xfId="0" applyBorder="1"/>
    <xf numFmtId="0" fontId="209" fillId="71" borderId="108" xfId="0" applyFont="1" applyFill="1" applyBorder="1" applyAlignment="1">
      <alignment horizontal="center" vertical="center" wrapText="1"/>
    </xf>
    <xf numFmtId="0" fontId="213" fillId="74" borderId="47" xfId="0" applyFont="1" applyFill="1" applyBorder="1" applyAlignment="1">
      <alignment horizontal="center" vertical="center"/>
    </xf>
    <xf numFmtId="0" fontId="208" fillId="73" borderId="108" xfId="0" applyFont="1" applyFill="1" applyBorder="1" applyAlignment="1">
      <alignment horizontal="center" vertical="center" wrapText="1"/>
    </xf>
    <xf numFmtId="0" fontId="210" fillId="75" borderId="108" xfId="0" applyFont="1" applyFill="1" applyBorder="1" applyAlignment="1">
      <alignment horizontal="center" vertical="center" wrapText="1"/>
    </xf>
    <xf numFmtId="0" fontId="215" fillId="76" borderId="106" xfId="0" applyFont="1" applyFill="1" applyBorder="1" applyAlignment="1">
      <alignment horizontal="center" vertical="center"/>
    </xf>
    <xf numFmtId="164" fontId="209" fillId="76" borderId="106" xfId="0" applyNumberFormat="1" applyFont="1" applyFill="1" applyBorder="1" applyAlignment="1">
      <alignment horizontal="center" vertical="center" wrapText="1"/>
    </xf>
    <xf numFmtId="0" fontId="274" fillId="72" borderId="114" xfId="0" applyFont="1" applyFill="1" applyBorder="1" applyAlignment="1">
      <alignment horizontal="center" vertical="center"/>
    </xf>
    <xf numFmtId="0" fontId="227" fillId="0" borderId="0" xfId="0" applyFont="1" applyAlignment="1">
      <alignment horizontal="left" vertical="center"/>
    </xf>
    <xf numFmtId="0" fontId="218" fillId="71" borderId="108" xfId="0" applyFont="1" applyFill="1" applyBorder="1" applyAlignment="1">
      <alignment horizontal="center" vertical="center" wrapText="1"/>
    </xf>
    <xf numFmtId="0" fontId="73" fillId="32" borderId="0" xfId="0" applyFont="1" applyFill="1" applyAlignment="1">
      <alignment horizontal="center"/>
    </xf>
    <xf numFmtId="0" fontId="92" fillId="40" borderId="67" xfId="0" applyFont="1" applyFill="1" applyBorder="1" applyAlignment="1">
      <alignment horizontal="center"/>
    </xf>
    <xf numFmtId="0" fontId="66" fillId="40" borderId="36" xfId="0" applyFont="1" applyFill="1" applyBorder="1" applyAlignment="1">
      <alignment horizontal="right" vertical="center"/>
    </xf>
    <xf numFmtId="0" fontId="66" fillId="40" borderId="0" xfId="0" applyFont="1" applyFill="1" applyAlignment="1">
      <alignment horizontal="right" vertical="center"/>
    </xf>
    <xf numFmtId="0" fontId="33" fillId="40" borderId="36" xfId="0" applyFont="1" applyFill="1" applyBorder="1" applyAlignment="1">
      <alignment horizontal="right" vertical="center"/>
    </xf>
    <xf numFmtId="0" fontId="33" fillId="40" borderId="0" xfId="0" applyFont="1" applyFill="1" applyAlignment="1">
      <alignment horizontal="right" vertical="center"/>
    </xf>
    <xf numFmtId="0" fontId="178" fillId="40" borderId="43" xfId="0" applyFont="1" applyFill="1" applyBorder="1" applyAlignment="1">
      <alignment horizontal="right" vertical="center"/>
    </xf>
    <xf numFmtId="0" fontId="178" fillId="40" borderId="0" xfId="0" applyFont="1" applyFill="1" applyAlignment="1">
      <alignment horizontal="right" vertical="center"/>
    </xf>
    <xf numFmtId="0" fontId="178" fillId="40" borderId="85" xfId="0" applyFont="1" applyFill="1" applyBorder="1" applyAlignment="1">
      <alignment horizontal="right" vertical="center"/>
    </xf>
    <xf numFmtId="0" fontId="35" fillId="40" borderId="43" xfId="0" applyFont="1" applyFill="1" applyBorder="1" applyAlignment="1">
      <alignment horizontal="center"/>
    </xf>
    <xf numFmtId="0" fontId="35" fillId="40" borderId="0" xfId="0" applyFont="1" applyFill="1" applyAlignment="1">
      <alignment horizontal="center"/>
    </xf>
    <xf numFmtId="0" fontId="35" fillId="40" borderId="85" xfId="0" applyFont="1" applyFill="1" applyBorder="1" applyAlignment="1">
      <alignment horizontal="center"/>
    </xf>
    <xf numFmtId="0" fontId="122" fillId="40" borderId="0" xfId="0" applyFont="1" applyFill="1" applyAlignment="1">
      <alignment horizontal="right" vertical="center"/>
    </xf>
    <xf numFmtId="0" fontId="46" fillId="40" borderId="36" xfId="0" applyFont="1" applyFill="1" applyBorder="1" applyAlignment="1">
      <alignment horizontal="center" vertical="center"/>
    </xf>
    <xf numFmtId="0" fontId="46" fillId="40" borderId="0" xfId="0" applyFont="1" applyFill="1" applyAlignment="1">
      <alignment horizontal="center" vertical="center"/>
    </xf>
    <xf numFmtId="0" fontId="46" fillId="40" borderId="33" xfId="0" applyFont="1" applyFill="1" applyBorder="1" applyAlignment="1">
      <alignment horizontal="center" vertical="center"/>
    </xf>
    <xf numFmtId="0" fontId="32" fillId="40" borderId="36" xfId="0" applyFont="1" applyFill="1" applyBorder="1" applyAlignment="1">
      <alignment horizontal="center"/>
    </xf>
    <xf numFmtId="0" fontId="32" fillId="40" borderId="0" xfId="0" applyFont="1" applyFill="1" applyAlignment="1">
      <alignment horizontal="center"/>
    </xf>
    <xf numFmtId="0" fontId="35" fillId="40" borderId="36" xfId="0" applyFont="1" applyFill="1" applyBorder="1" applyAlignment="1">
      <alignment horizontal="center" vertical="center"/>
    </xf>
    <xf numFmtId="0" fontId="35" fillId="40" borderId="0" xfId="0" applyFont="1" applyFill="1" applyAlignment="1">
      <alignment horizontal="center" vertical="center"/>
    </xf>
    <xf numFmtId="0" fontId="1" fillId="56" borderId="47" xfId="0" applyFont="1" applyFill="1" applyBorder="1" applyAlignment="1">
      <alignment horizontal="center"/>
    </xf>
    <xf numFmtId="0" fontId="0" fillId="56" borderId="47" xfId="0" applyFill="1" applyBorder="1" applyAlignment="1">
      <alignment horizontal="center"/>
    </xf>
    <xf numFmtId="0" fontId="32" fillId="40" borderId="42" xfId="0" applyFont="1" applyFill="1" applyBorder="1" applyAlignment="1">
      <alignment horizontal="center"/>
    </xf>
    <xf numFmtId="0" fontId="4" fillId="40" borderId="42" xfId="0" applyFont="1" applyFill="1" applyBorder="1" applyAlignment="1">
      <alignment horizontal="center"/>
    </xf>
    <xf numFmtId="0" fontId="4" fillId="40" borderId="71" xfId="0" applyFont="1" applyFill="1" applyBorder="1" applyAlignment="1">
      <alignment horizontal="center"/>
    </xf>
    <xf numFmtId="0" fontId="1" fillId="56" borderId="12" xfId="0" applyFont="1" applyFill="1" applyBorder="1" applyAlignment="1">
      <alignment horizontal="center"/>
    </xf>
    <xf numFmtId="0" fontId="4" fillId="32" borderId="0" xfId="0" applyFont="1" applyFill="1" applyAlignment="1">
      <alignment horizontal="center" vertical="center"/>
    </xf>
    <xf numFmtId="0" fontId="4" fillId="30" borderId="0" xfId="0" applyFont="1" applyFill="1" applyAlignment="1">
      <alignment horizontal="center" vertical="center"/>
    </xf>
    <xf numFmtId="164" fontId="1" fillId="30" borderId="0" xfId="28" applyNumberFormat="1" applyFill="1" applyAlignment="1">
      <alignment horizontal="center"/>
    </xf>
    <xf numFmtId="164" fontId="0" fillId="30" borderId="0" xfId="28" applyNumberFormat="1" applyFont="1" applyFill="1" applyAlignment="1">
      <alignment horizontal="center"/>
    </xf>
    <xf numFmtId="0" fontId="35" fillId="40" borderId="47" xfId="0" applyFont="1" applyFill="1" applyBorder="1" applyAlignment="1">
      <alignment horizontal="center" vertical="center"/>
    </xf>
    <xf numFmtId="0" fontId="1" fillId="32" borderId="0" xfId="0" applyFont="1" applyFill="1" applyAlignment="1">
      <alignment horizontal="center"/>
    </xf>
    <xf numFmtId="0" fontId="5" fillId="32" borderId="0" xfId="0" applyFont="1" applyFill="1" applyAlignment="1">
      <alignment horizontal="right" vertical="center"/>
    </xf>
    <xf numFmtId="0" fontId="176" fillId="32" borderId="0" xfId="0" applyFont="1" applyFill="1" applyAlignment="1">
      <alignment horizontal="right"/>
    </xf>
    <xf numFmtId="9" fontId="37" fillId="40" borderId="19" xfId="47" applyFont="1" applyFill="1" applyBorder="1" applyAlignment="1">
      <alignment horizontal="center" vertical="center" wrapText="1"/>
    </xf>
    <xf numFmtId="0" fontId="70" fillId="40" borderId="0" xfId="0" applyFont="1" applyFill="1" applyAlignment="1">
      <alignment horizontal="center" vertical="center"/>
    </xf>
    <xf numFmtId="0" fontId="47" fillId="40" borderId="0" xfId="0" applyFont="1" applyFill="1" applyAlignment="1">
      <alignment horizontal="right" vertical="center"/>
    </xf>
    <xf numFmtId="0" fontId="29" fillId="40" borderId="0" xfId="0" applyFont="1" applyFill="1" applyAlignment="1">
      <alignment horizontal="center"/>
    </xf>
    <xf numFmtId="0" fontId="33" fillId="40" borderId="0" xfId="0" applyFont="1" applyFill="1" applyAlignment="1">
      <alignment horizontal="center"/>
    </xf>
    <xf numFmtId="0" fontId="1" fillId="27" borderId="0" xfId="0" applyFont="1" applyFill="1" applyAlignment="1">
      <alignment horizontal="center"/>
    </xf>
    <xf numFmtId="0" fontId="1" fillId="27" borderId="85" xfId="0" applyFont="1" applyFill="1"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150" fillId="27" borderId="0" xfId="0" applyFont="1" applyFill="1" applyAlignment="1">
      <alignment horizontal="center" vertical="center"/>
    </xf>
    <xf numFmtId="0" fontId="150" fillId="27" borderId="85" xfId="0" applyFont="1" applyFill="1" applyBorder="1" applyAlignment="1">
      <alignment horizontal="center" vertical="center"/>
    </xf>
    <xf numFmtId="0" fontId="75" fillId="32" borderId="0" xfId="0" applyFont="1" applyFill="1" applyAlignment="1">
      <alignment horizontal="center" vertical="center"/>
    </xf>
    <xf numFmtId="0" fontId="162" fillId="32" borderId="0" xfId="0" applyFont="1" applyFill="1" applyAlignment="1">
      <alignment horizontal="center" vertical="center"/>
    </xf>
    <xf numFmtId="0" fontId="162" fillId="32" borderId="85" xfId="0" applyFont="1" applyFill="1" applyBorder="1" applyAlignment="1">
      <alignment horizontal="center" vertical="center"/>
    </xf>
    <xf numFmtId="9" fontId="37" fillId="27" borderId="0" xfId="47" applyFont="1" applyFill="1" applyBorder="1" applyAlignment="1">
      <alignment horizontal="center" vertical="center" wrapText="1"/>
    </xf>
    <xf numFmtId="9" fontId="37" fillId="27" borderId="0" xfId="47" applyFont="1" applyFill="1" applyAlignment="1">
      <alignment horizontal="center" vertical="center" wrapText="1"/>
    </xf>
    <xf numFmtId="0" fontId="178" fillId="40" borderId="80" xfId="0" applyFont="1" applyFill="1" applyBorder="1" applyAlignment="1">
      <alignment horizontal="center" vertical="center"/>
    </xf>
    <xf numFmtId="0" fontId="178" fillId="40" borderId="81" xfId="0" applyFont="1" applyFill="1" applyBorder="1" applyAlignment="1">
      <alignment horizontal="center" vertical="center"/>
    </xf>
    <xf numFmtId="0" fontId="178" fillId="40" borderId="82" xfId="0" applyFont="1" applyFill="1" applyBorder="1" applyAlignment="1">
      <alignment horizontal="center" vertical="center"/>
    </xf>
    <xf numFmtId="0" fontId="153" fillId="0" borderId="0" xfId="0" applyFont="1" applyAlignment="1">
      <alignment horizontal="center"/>
    </xf>
    <xf numFmtId="0" fontId="153" fillId="0" borderId="0" xfId="0" applyFont="1" applyAlignment="1">
      <alignment horizontal="center" vertical="center"/>
    </xf>
    <xf numFmtId="0" fontId="4" fillId="0" borderId="0" xfId="0" applyFont="1" applyAlignment="1">
      <alignment horizontal="center" vertical="center"/>
    </xf>
    <xf numFmtId="0" fontId="66" fillId="40" borderId="80" xfId="0" applyFont="1" applyFill="1" applyBorder="1" applyAlignment="1">
      <alignment horizontal="center" vertical="center"/>
    </xf>
    <xf numFmtId="0" fontId="66" fillId="40" borderId="81" xfId="0" applyFont="1" applyFill="1" applyBorder="1" applyAlignment="1">
      <alignment horizontal="center" vertical="center"/>
    </xf>
    <xf numFmtId="0" fontId="66" fillId="40" borderId="82" xfId="0" applyFont="1" applyFill="1" applyBorder="1" applyAlignment="1">
      <alignment horizontal="center" vertical="center"/>
    </xf>
    <xf numFmtId="0" fontId="63" fillId="0" borderId="0" xfId="0" applyFont="1" applyAlignment="1">
      <alignment horizontal="center"/>
    </xf>
    <xf numFmtId="0" fontId="184" fillId="0" borderId="0" xfId="0" applyFont="1" applyAlignment="1">
      <alignment horizontal="center" vertical="center"/>
    </xf>
    <xf numFmtId="0" fontId="32" fillId="40" borderId="0" xfId="0" applyFont="1" applyFill="1" applyAlignment="1">
      <alignment horizontal="left" vertical="center"/>
    </xf>
    <xf numFmtId="0" fontId="4" fillId="32" borderId="80" xfId="0" applyFont="1" applyFill="1" applyBorder="1" applyAlignment="1">
      <alignment horizontal="center" vertical="center"/>
    </xf>
    <xf numFmtId="0" fontId="4" fillId="32" borderId="81" xfId="0" applyFont="1" applyFill="1" applyBorder="1" applyAlignment="1">
      <alignment horizontal="center" vertical="center"/>
    </xf>
    <xf numFmtId="0" fontId="4" fillId="32" borderId="82" xfId="0" applyFont="1" applyFill="1" applyBorder="1" applyAlignment="1">
      <alignment horizontal="center" vertical="center"/>
    </xf>
    <xf numFmtId="49" fontId="6" fillId="61" borderId="86" xfId="0" applyNumberFormat="1" applyFont="1" applyFill="1" applyBorder="1" applyAlignment="1">
      <alignment horizontal="center" vertical="center"/>
    </xf>
    <xf numFmtId="0" fontId="6" fillId="61" borderId="87" xfId="0" applyFont="1" applyFill="1" applyBorder="1" applyAlignment="1">
      <alignment horizontal="center" vertical="center"/>
    </xf>
    <xf numFmtId="0" fontId="6" fillId="61" borderId="88" xfId="0" applyFont="1" applyFill="1" applyBorder="1" applyAlignment="1">
      <alignment horizontal="center" vertical="center"/>
    </xf>
    <xf numFmtId="0" fontId="4" fillId="61" borderId="80" xfId="0" applyFont="1" applyFill="1" applyBorder="1" applyAlignment="1">
      <alignment horizontal="center" vertical="center"/>
    </xf>
    <xf numFmtId="0" fontId="4" fillId="61" borderId="81" xfId="0" applyFont="1" applyFill="1" applyBorder="1" applyAlignment="1">
      <alignment horizontal="center" vertical="center"/>
    </xf>
    <xf numFmtId="0" fontId="4" fillId="61" borderId="82" xfId="0" applyFont="1" applyFill="1" applyBorder="1" applyAlignment="1">
      <alignment horizontal="center" vertical="center"/>
    </xf>
    <xf numFmtId="0" fontId="186" fillId="61" borderId="80" xfId="46" applyFont="1" applyFill="1" applyBorder="1" applyAlignment="1">
      <alignment horizontal="center" vertical="center"/>
    </xf>
    <xf numFmtId="0" fontId="27" fillId="0" borderId="0" xfId="0" applyFont="1" applyAlignment="1">
      <alignment horizontal="center" vertical="center"/>
    </xf>
    <xf numFmtId="0" fontId="143" fillId="27" borderId="0" xfId="0" applyFont="1" applyFill="1" applyAlignment="1">
      <alignment horizontal="center" vertical="center"/>
    </xf>
    <xf numFmtId="0" fontId="93" fillId="27" borderId="0" xfId="0" applyFont="1" applyFill="1" applyAlignment="1">
      <alignment horizontal="center" vertical="center"/>
    </xf>
    <xf numFmtId="0" fontId="82" fillId="27" borderId="0" xfId="0" applyFont="1" applyFill="1" applyAlignment="1">
      <alignment horizontal="center" vertical="center"/>
    </xf>
    <xf numFmtId="0" fontId="105" fillId="0" borderId="0" xfId="0" applyFont="1" applyAlignment="1">
      <alignment horizontal="center" vertical="center"/>
    </xf>
    <xf numFmtId="0" fontId="61" fillId="0" borderId="0" xfId="0" applyFont="1" applyAlignment="1">
      <alignment horizontal="center"/>
    </xf>
    <xf numFmtId="0" fontId="138" fillId="0" borderId="0" xfId="0" applyFont="1" applyAlignment="1">
      <alignment horizontal="center" vertical="center"/>
    </xf>
    <xf numFmtId="0" fontId="148" fillId="0" borderId="0" xfId="0" applyFont="1" applyAlignment="1">
      <alignment horizontal="center" vertical="center"/>
    </xf>
    <xf numFmtId="0" fontId="146" fillId="37" borderId="0" xfId="0" applyFont="1" applyFill="1" applyAlignment="1">
      <alignment horizontal="center" vertical="center"/>
    </xf>
    <xf numFmtId="0" fontId="101" fillId="40" borderId="0" xfId="0" applyFont="1" applyFill="1" applyAlignment="1">
      <alignment horizontal="center" vertical="center"/>
    </xf>
    <xf numFmtId="0" fontId="80" fillId="37" borderId="0" xfId="0" applyFont="1" applyFill="1" applyAlignment="1">
      <alignment horizontal="center" vertical="center"/>
    </xf>
    <xf numFmtId="0" fontId="105" fillId="37" borderId="0" xfId="0" applyFont="1" applyFill="1" applyAlignment="1">
      <alignment horizontal="center" vertical="center"/>
    </xf>
    <xf numFmtId="0" fontId="93" fillId="40" borderId="0" xfId="0" applyFont="1" applyFill="1" applyAlignment="1">
      <alignment horizontal="center" vertical="center"/>
    </xf>
    <xf numFmtId="0" fontId="111" fillId="37" borderId="0" xfId="0" applyFont="1" applyFill="1" applyAlignment="1">
      <alignment horizontal="center" vertical="center"/>
    </xf>
    <xf numFmtId="0" fontId="161" fillId="51" borderId="43" xfId="0" applyFont="1" applyFill="1" applyBorder="1" applyAlignment="1">
      <alignment horizontal="center"/>
    </xf>
    <xf numFmtId="0" fontId="121" fillId="51" borderId="0" xfId="0" applyFont="1" applyFill="1" applyAlignment="1">
      <alignment horizontal="center"/>
    </xf>
    <xf numFmtId="0" fontId="31" fillId="0" borderId="0" xfId="46" applyAlignment="1">
      <alignment horizontal="center" vertical="center"/>
    </xf>
    <xf numFmtId="0" fontId="81" fillId="0" borderId="43" xfId="0" applyFont="1" applyBorder="1" applyAlignment="1">
      <alignment horizontal="right"/>
    </xf>
    <xf numFmtId="0" fontId="81" fillId="0" borderId="0" xfId="0" applyFont="1" applyAlignment="1">
      <alignment horizontal="right"/>
    </xf>
    <xf numFmtId="0" fontId="64" fillId="0" borderId="0" xfId="0" applyFont="1" applyAlignment="1">
      <alignment horizontal="center" vertical="center"/>
    </xf>
    <xf numFmtId="0" fontId="65" fillId="0" borderId="0" xfId="0" applyFont="1" applyAlignment="1">
      <alignment horizontal="center" vertical="center"/>
    </xf>
    <xf numFmtId="0" fontId="105" fillId="0" borderId="0" xfId="0" applyFont="1" applyAlignment="1">
      <alignment horizontal="center"/>
    </xf>
    <xf numFmtId="0" fontId="79" fillId="0" borderId="0" xfId="0" applyFont="1" applyAlignment="1">
      <alignment horizontal="right"/>
    </xf>
    <xf numFmtId="0" fontId="129" fillId="0" borderId="0" xfId="0" applyFont="1" applyAlignment="1">
      <alignment horizontal="right"/>
    </xf>
    <xf numFmtId="0" fontId="2" fillId="32" borderId="0" xfId="0" applyFont="1" applyFill="1" applyAlignment="1">
      <alignment horizontal="center"/>
    </xf>
    <xf numFmtId="0" fontId="79" fillId="0" borderId="0" xfId="0" applyFont="1" applyAlignment="1">
      <alignment horizontal="right" vertical="center"/>
    </xf>
    <xf numFmtId="0" fontId="129" fillId="0" borderId="0" xfId="0" applyFont="1" applyAlignment="1">
      <alignment horizontal="right" vertical="center"/>
    </xf>
    <xf numFmtId="0" fontId="2" fillId="0" borderId="0" xfId="0" applyFont="1" applyAlignment="1">
      <alignment horizontal="right"/>
    </xf>
    <xf numFmtId="0" fontId="4" fillId="0" borderId="0" xfId="0" applyFont="1" applyAlignment="1">
      <alignment horizontal="right"/>
    </xf>
    <xf numFmtId="0" fontId="111" fillId="0" borderId="0" xfId="0" applyFont="1" applyAlignment="1">
      <alignment horizontal="right"/>
    </xf>
    <xf numFmtId="0" fontId="2" fillId="0" borderId="0" xfId="0" applyFont="1" applyAlignment="1">
      <alignment horizontal="left"/>
    </xf>
    <xf numFmtId="0" fontId="4" fillId="0" borderId="0" xfId="0" applyFont="1" applyAlignment="1">
      <alignment horizontal="left"/>
    </xf>
    <xf numFmtId="0" fontId="27" fillId="60" borderId="0" xfId="0" applyFont="1" applyFill="1" applyAlignment="1">
      <alignment horizontal="center" vertical="center"/>
    </xf>
    <xf numFmtId="0" fontId="27" fillId="60" borderId="0" xfId="0" applyFont="1" applyFill="1" applyAlignment="1">
      <alignment horizontal="center"/>
    </xf>
    <xf numFmtId="0" fontId="2" fillId="0" borderId="0" xfId="0" applyFont="1" applyAlignment="1">
      <alignment horizontal="center" vertical="center"/>
    </xf>
    <xf numFmtId="0" fontId="2" fillId="24" borderId="67" xfId="0" applyFont="1" applyFill="1" applyBorder="1" applyAlignment="1">
      <alignment horizontal="center"/>
    </xf>
    <xf numFmtId="0" fontId="2" fillId="24" borderId="67" xfId="0" applyFont="1" applyFill="1" applyBorder="1" applyAlignment="1">
      <alignment horizontal="center" vertical="center"/>
    </xf>
    <xf numFmtId="14" fontId="27" fillId="0" borderId="0" xfId="0" applyNumberFormat="1" applyFont="1" applyAlignment="1">
      <alignment horizontal="center" vertical="center"/>
    </xf>
    <xf numFmtId="164" fontId="5" fillId="0" borderId="0" xfId="0" applyNumberFormat="1" applyFont="1" applyAlignment="1">
      <alignment horizontal="center"/>
    </xf>
    <xf numFmtId="49" fontId="111" fillId="60" borderId="0" xfId="0" applyNumberFormat="1" applyFont="1" applyFill="1" applyAlignment="1">
      <alignment horizontal="center" vertical="center"/>
    </xf>
    <xf numFmtId="49" fontId="27" fillId="0" borderId="0" xfId="0" applyNumberFormat="1" applyFont="1" applyAlignment="1">
      <alignment horizontal="center" vertical="center"/>
    </xf>
    <xf numFmtId="4" fontId="4" fillId="61" borderId="47" xfId="0" applyNumberFormat="1" applyFont="1" applyFill="1" applyBorder="1" applyAlignment="1">
      <alignment horizontal="center"/>
    </xf>
    <xf numFmtId="0" fontId="4" fillId="61" borderId="47" xfId="0" applyFont="1" applyFill="1" applyBorder="1" applyAlignment="1">
      <alignment horizontal="center"/>
    </xf>
    <xf numFmtId="0" fontId="32" fillId="63" borderId="0" xfId="0" applyFont="1" applyFill="1" applyAlignment="1">
      <alignment horizontal="center"/>
    </xf>
    <xf numFmtId="0" fontId="32" fillId="63" borderId="0" xfId="0" applyFont="1" applyFill="1" applyAlignment="1">
      <alignment horizontal="center" vertical="center"/>
    </xf>
    <xf numFmtId="0" fontId="76" fillId="0" borderId="0" xfId="0" applyFont="1" applyAlignment="1">
      <alignment horizontal="center"/>
    </xf>
    <xf numFmtId="0" fontId="76" fillId="0" borderId="0" xfId="0" applyFont="1" applyAlignment="1">
      <alignment horizontal="right" vertical="center"/>
    </xf>
    <xf numFmtId="0" fontId="76" fillId="0" borderId="33" xfId="0" applyFont="1" applyBorder="1" applyAlignment="1">
      <alignment horizontal="right" vertical="center"/>
    </xf>
    <xf numFmtId="0" fontId="27" fillId="0" borderId="0" xfId="0" applyFont="1" applyAlignment="1">
      <alignment horizontal="right"/>
    </xf>
    <xf numFmtId="0" fontId="73" fillId="0" borderId="0" xfId="0" applyFont="1" applyAlignment="1">
      <alignment horizontal="center" vertical="center"/>
    </xf>
    <xf numFmtId="0" fontId="58" fillId="0" borderId="0" xfId="0" applyFont="1" applyAlignment="1">
      <alignment horizontal="center" vertical="center"/>
    </xf>
    <xf numFmtId="0" fontId="58" fillId="40" borderId="0" xfId="0" applyFont="1" applyFill="1" applyAlignment="1">
      <alignment horizontal="right" vertical="center"/>
    </xf>
    <xf numFmtId="164" fontId="114" fillId="41" borderId="11" xfId="0" applyNumberFormat="1" applyFont="1" applyFill="1" applyBorder="1" applyAlignment="1">
      <alignment horizontal="center" vertical="center"/>
    </xf>
    <xf numFmtId="164" fontId="85" fillId="40" borderId="0" xfId="28" applyNumberFormat="1" applyFont="1" applyFill="1" applyAlignment="1">
      <alignment horizontal="center" vertical="center"/>
    </xf>
    <xf numFmtId="0" fontId="114" fillId="0" borderId="0" xfId="0" applyFont="1" applyAlignment="1">
      <alignment horizontal="center" vertical="center"/>
    </xf>
    <xf numFmtId="0" fontId="93" fillId="0" borderId="0" xfId="0" applyFont="1" applyAlignment="1">
      <alignment horizontal="center" vertical="center"/>
    </xf>
    <xf numFmtId="0" fontId="111" fillId="0" borderId="0" xfId="0" applyFont="1" applyAlignment="1">
      <alignment horizontal="center" vertical="center"/>
    </xf>
    <xf numFmtId="0" fontId="58" fillId="30" borderId="11" xfId="0" applyFont="1" applyFill="1" applyBorder="1" applyAlignment="1">
      <alignment horizontal="right" vertical="center"/>
    </xf>
    <xf numFmtId="164" fontId="85" fillId="30" borderId="0" xfId="28" applyNumberFormat="1" applyFont="1" applyFill="1" applyAlignment="1">
      <alignment horizontal="center" vertical="center"/>
    </xf>
    <xf numFmtId="0" fontId="86" fillId="40" borderId="0" xfId="0" applyFont="1" applyFill="1" applyAlignment="1">
      <alignment horizontal="center" vertical="center"/>
    </xf>
    <xf numFmtId="0" fontId="93" fillId="40" borderId="0" xfId="0" applyFont="1" applyFill="1" applyAlignment="1">
      <alignment horizontal="center"/>
    </xf>
    <xf numFmtId="164" fontId="114" fillId="48" borderId="11" xfId="0" applyNumberFormat="1" applyFont="1" applyFill="1" applyBorder="1" applyAlignment="1">
      <alignment horizontal="center" vertical="center"/>
    </xf>
    <xf numFmtId="0" fontId="58" fillId="27" borderId="42" xfId="0" applyFont="1" applyFill="1" applyBorder="1" applyAlignment="1">
      <alignment horizontal="right" vertical="center"/>
    </xf>
    <xf numFmtId="164" fontId="114" fillId="64" borderId="11" xfId="0" applyNumberFormat="1" applyFont="1" applyFill="1" applyBorder="1" applyAlignment="1">
      <alignment horizontal="center" vertical="center"/>
    </xf>
    <xf numFmtId="0" fontId="58" fillId="27" borderId="11" xfId="0" applyFont="1" applyFill="1" applyBorder="1" applyAlignment="1">
      <alignment horizontal="right" vertical="center"/>
    </xf>
    <xf numFmtId="164" fontId="114" fillId="29" borderId="11" xfId="0" applyNumberFormat="1" applyFont="1" applyFill="1" applyBorder="1" applyAlignment="1">
      <alignment horizontal="center" vertical="center"/>
    </xf>
    <xf numFmtId="0" fontId="58" fillId="27" borderId="0" xfId="0" applyFont="1" applyFill="1" applyAlignment="1">
      <alignment horizontal="right" vertical="center"/>
    </xf>
    <xf numFmtId="0" fontId="95" fillId="0" borderId="0" xfId="0" applyFont="1" applyAlignment="1">
      <alignment horizontal="center"/>
    </xf>
    <xf numFmtId="0" fontId="86" fillId="30" borderId="0" xfId="0" applyFont="1" applyFill="1" applyAlignment="1">
      <alignment horizontal="center" vertical="center"/>
    </xf>
    <xf numFmtId="0" fontId="93" fillId="30" borderId="0" xfId="0" applyFont="1" applyFill="1" applyAlignment="1">
      <alignment horizontal="center"/>
    </xf>
    <xf numFmtId="0" fontId="58" fillId="30" borderId="42" xfId="0" applyFont="1" applyFill="1" applyBorder="1" applyAlignment="1">
      <alignment horizontal="right" vertical="center"/>
    </xf>
    <xf numFmtId="0" fontId="191" fillId="27" borderId="0" xfId="0" applyFont="1" applyFill="1" applyAlignment="1">
      <alignment horizontal="center" vertical="center" wrapText="1"/>
    </xf>
    <xf numFmtId="0" fontId="57" fillId="0" borderId="0" xfId="0" applyFont="1" applyAlignment="1">
      <alignment horizontal="center"/>
    </xf>
    <xf numFmtId="0" fontId="52" fillId="40" borderId="80" xfId="0" applyFont="1" applyFill="1" applyBorder="1" applyAlignment="1">
      <alignment horizontal="right" vertical="center"/>
    </xf>
    <xf numFmtId="0" fontId="52" fillId="40" borderId="81" xfId="0" applyFont="1" applyFill="1" applyBorder="1" applyAlignment="1">
      <alignment horizontal="right" vertical="center"/>
    </xf>
    <xf numFmtId="0" fontId="52" fillId="40" borderId="82" xfId="0" applyFont="1" applyFill="1" applyBorder="1" applyAlignment="1">
      <alignment horizontal="right" vertical="center"/>
    </xf>
    <xf numFmtId="164" fontId="81" fillId="0" borderId="80" xfId="0" applyNumberFormat="1" applyFont="1" applyBorder="1" applyAlignment="1">
      <alignment horizontal="center" vertical="center"/>
    </xf>
    <xf numFmtId="164" fontId="81" fillId="0" borderId="81" xfId="0" applyNumberFormat="1" applyFont="1" applyBorder="1" applyAlignment="1">
      <alignment horizontal="center" vertical="center"/>
    </xf>
    <xf numFmtId="164" fontId="81" fillId="0" borderId="82" xfId="0" applyNumberFormat="1" applyFont="1" applyBorder="1" applyAlignment="1">
      <alignment horizontal="center" vertical="center"/>
    </xf>
    <xf numFmtId="0" fontId="52" fillId="40" borderId="80" xfId="0" applyFont="1" applyFill="1" applyBorder="1" applyAlignment="1">
      <alignment horizontal="left" vertical="center"/>
    </xf>
    <xf numFmtId="0" fontId="52" fillId="40" borderId="82" xfId="0" applyFont="1" applyFill="1" applyBorder="1" applyAlignment="1">
      <alignment horizontal="left" vertical="center"/>
    </xf>
    <xf numFmtId="0" fontId="86" fillId="27" borderId="0" xfId="0" applyFont="1" applyFill="1" applyAlignment="1">
      <alignment horizontal="center" vertical="center"/>
    </xf>
    <xf numFmtId="0" fontId="93" fillId="27" borderId="0" xfId="0" applyFont="1" applyFill="1" applyAlignment="1">
      <alignment horizontal="center"/>
    </xf>
    <xf numFmtId="0" fontId="0" fillId="27" borderId="0" xfId="0" applyFill="1" applyAlignment="1">
      <alignment horizontal="center"/>
    </xf>
    <xf numFmtId="49" fontId="2" fillId="65" borderId="0" xfId="0" applyNumberFormat="1" applyFont="1" applyFill="1" applyAlignment="1">
      <alignment horizontal="center" vertical="center"/>
    </xf>
    <xf numFmtId="0" fontId="221" fillId="77" borderId="0" xfId="0" applyFont="1" applyFill="1"/>
    <xf numFmtId="0" fontId="220" fillId="0" borderId="0" xfId="0" applyFont="1"/>
    <xf numFmtId="0" fontId="221" fillId="0" borderId="0" xfId="0" applyFont="1"/>
    <xf numFmtId="9" fontId="269" fillId="0" borderId="0" xfId="47" applyFont="1" applyFill="1" applyBorder="1" applyAlignment="1">
      <alignment horizontal="center" vertical="center" wrapText="1"/>
    </xf>
    <xf numFmtId="9" fontId="269" fillId="0" borderId="0" xfId="47" applyFont="1" applyFill="1" applyAlignment="1">
      <alignment horizontal="center" vertical="center" wrapText="1"/>
    </xf>
    <xf numFmtId="0" fontId="230" fillId="0" borderId="0" xfId="0" applyFont="1" applyAlignment="1">
      <alignment horizontal="center"/>
    </xf>
    <xf numFmtId="0" fontId="230" fillId="87" borderId="23" xfId="0" applyFont="1" applyFill="1" applyBorder="1" applyAlignment="1">
      <alignment horizontal="center"/>
    </xf>
    <xf numFmtId="0" fontId="230" fillId="87" borderId="89" xfId="0" applyFont="1" applyFill="1" applyBorder="1" applyAlignment="1">
      <alignment horizontal="center"/>
    </xf>
    <xf numFmtId="0" fontId="230" fillId="87" borderId="25" xfId="0" applyFont="1" applyFill="1" applyBorder="1" applyAlignment="1">
      <alignment horizontal="center"/>
    </xf>
    <xf numFmtId="0" fontId="255" fillId="87" borderId="23" xfId="0" applyFont="1" applyFill="1" applyBorder="1" applyAlignment="1">
      <alignment horizontal="center"/>
    </xf>
    <xf numFmtId="0" fontId="272" fillId="87" borderId="89" xfId="0" applyFont="1" applyFill="1" applyBorder="1" applyAlignment="1">
      <alignment horizontal="center"/>
    </xf>
    <xf numFmtId="0" fontId="273" fillId="85" borderId="80" xfId="0" applyFont="1" applyFill="1" applyBorder="1" applyAlignment="1" applyProtection="1">
      <alignment horizontal="center" vertical="center"/>
      <protection locked="0"/>
    </xf>
    <xf numFmtId="0" fontId="273" fillId="85" borderId="81" xfId="0" applyFont="1" applyFill="1" applyBorder="1" applyAlignment="1" applyProtection="1">
      <alignment horizontal="center" vertical="center"/>
      <protection locked="0"/>
    </xf>
    <xf numFmtId="0" fontId="273" fillId="85" borderId="82" xfId="0" applyFont="1" applyFill="1" applyBorder="1" applyAlignment="1" applyProtection="1">
      <alignment horizontal="center" vertical="center"/>
      <protection locked="0"/>
    </xf>
    <xf numFmtId="0" fontId="273" fillId="84" borderId="80" xfId="0" applyFont="1" applyFill="1" applyBorder="1" applyAlignment="1" applyProtection="1">
      <alignment horizontal="center" vertical="center"/>
      <protection locked="0"/>
    </xf>
    <xf numFmtId="0" fontId="273" fillId="84" borderId="81" xfId="0" applyFont="1" applyFill="1" applyBorder="1" applyAlignment="1" applyProtection="1">
      <alignment horizontal="center" vertical="center"/>
      <protection locked="0"/>
    </xf>
    <xf numFmtId="0" fontId="273" fillId="84" borderId="82" xfId="0" applyFont="1" applyFill="1" applyBorder="1" applyAlignment="1" applyProtection="1">
      <alignment horizontal="center" vertical="center"/>
      <protection locked="0"/>
    </xf>
    <xf numFmtId="0" fontId="230" fillId="87" borderId="0" xfId="0" applyFont="1" applyFill="1" applyAlignment="1">
      <alignment horizontal="center"/>
    </xf>
    <xf numFmtId="0" fontId="230" fillId="87" borderId="85" xfId="0" applyFont="1" applyFill="1" applyBorder="1" applyAlignment="1">
      <alignment horizontal="center"/>
    </xf>
    <xf numFmtId="0" fontId="252" fillId="0" borderId="0" xfId="0" applyFont="1" applyAlignment="1" applyProtection="1">
      <alignment horizontal="center"/>
      <protection locked="0"/>
    </xf>
    <xf numFmtId="9" fontId="261" fillId="89" borderId="0" xfId="47" applyFont="1" applyFill="1" applyBorder="1" applyAlignment="1">
      <alignment horizontal="center" vertical="center" wrapText="1"/>
    </xf>
    <xf numFmtId="9" fontId="261" fillId="89" borderId="19" xfId="47" applyFont="1" applyFill="1" applyBorder="1" applyAlignment="1">
      <alignment horizontal="center" vertical="center" wrapText="1"/>
    </xf>
    <xf numFmtId="9" fontId="226" fillId="84" borderId="0" xfId="47" applyFont="1" applyFill="1" applyBorder="1" applyAlignment="1">
      <alignment horizontal="center" vertical="center"/>
    </xf>
    <xf numFmtId="9" fontId="226" fillId="84" borderId="19" xfId="47" applyFont="1" applyFill="1" applyBorder="1" applyAlignment="1">
      <alignment horizontal="center" vertical="center"/>
    </xf>
    <xf numFmtId="9" fontId="226" fillId="85" borderId="0" xfId="47" applyFont="1" applyFill="1" applyBorder="1" applyAlignment="1">
      <alignment horizontal="center" vertical="center" wrapText="1"/>
    </xf>
    <xf numFmtId="9" fontId="226" fillId="85" borderId="19" xfId="47" applyFont="1" applyFill="1" applyBorder="1" applyAlignment="1">
      <alignment horizontal="center" vertical="center" wrapText="1"/>
    </xf>
    <xf numFmtId="0" fontId="270" fillId="87" borderId="0" xfId="0" applyFont="1" applyFill="1" applyAlignment="1">
      <alignment horizontal="center" vertical="center"/>
    </xf>
    <xf numFmtId="0" fontId="270" fillId="87" borderId="85" xfId="0" applyFont="1" applyFill="1" applyBorder="1" applyAlignment="1">
      <alignment horizontal="center" vertical="center"/>
    </xf>
    <xf numFmtId="0" fontId="227" fillId="83" borderId="0" xfId="0" applyFont="1" applyFill="1" applyAlignment="1">
      <alignment horizontal="center" vertical="center"/>
    </xf>
    <xf numFmtId="0" fontId="268" fillId="84" borderId="80" xfId="0" applyFont="1" applyFill="1" applyBorder="1" applyAlignment="1">
      <alignment horizontal="center"/>
    </xf>
    <xf numFmtId="0" fontId="268" fillId="84" borderId="81" xfId="0" applyFont="1" applyFill="1" applyBorder="1" applyAlignment="1">
      <alignment horizontal="center"/>
    </xf>
    <xf numFmtId="0" fontId="268" fillId="84" borderId="82" xfId="0" applyFont="1" applyFill="1" applyBorder="1" applyAlignment="1">
      <alignment horizontal="center"/>
    </xf>
    <xf numFmtId="0" fontId="268" fillId="84" borderId="80" xfId="0" applyFont="1" applyFill="1" applyBorder="1" applyAlignment="1">
      <alignment horizontal="center" vertical="center"/>
    </xf>
    <xf numFmtId="0" fontId="268" fillId="84" borderId="82" xfId="0" applyFont="1" applyFill="1" applyBorder="1" applyAlignment="1">
      <alignment horizontal="center" vertical="center"/>
    </xf>
    <xf numFmtId="0" fontId="227" fillId="0" borderId="0" xfId="0" applyFont="1" applyAlignment="1">
      <alignment horizontal="center" vertical="center"/>
    </xf>
    <xf numFmtId="0" fontId="268" fillId="85" borderId="80" xfId="0" applyFont="1" applyFill="1" applyBorder="1" applyAlignment="1">
      <alignment horizontal="center"/>
    </xf>
    <xf numFmtId="0" fontId="268" fillId="85" borderId="81" xfId="0" applyFont="1" applyFill="1" applyBorder="1" applyAlignment="1">
      <alignment horizontal="center"/>
    </xf>
    <xf numFmtId="0" fontId="268" fillId="85" borderId="82" xfId="0" applyFont="1" applyFill="1" applyBorder="1" applyAlignment="1">
      <alignment horizontal="center"/>
    </xf>
    <xf numFmtId="0" fontId="268" fillId="85" borderId="80" xfId="0" applyFont="1" applyFill="1" applyBorder="1" applyAlignment="1">
      <alignment horizontal="center" vertical="center"/>
    </xf>
    <xf numFmtId="0" fontId="268" fillId="85" borderId="82" xfId="0" applyFont="1" applyFill="1" applyBorder="1" applyAlignment="1">
      <alignment horizontal="center" vertical="center"/>
    </xf>
    <xf numFmtId="0" fontId="268" fillId="0" borderId="0" xfId="0" applyFont="1" applyAlignment="1">
      <alignment horizontal="center" vertical="center"/>
    </xf>
    <xf numFmtId="0" fontId="268" fillId="0" borderId="0" xfId="0" applyFont="1" applyAlignment="1">
      <alignment horizontal="center"/>
    </xf>
    <xf numFmtId="0" fontId="255" fillId="87" borderId="0" xfId="0" applyFont="1" applyFill="1" applyAlignment="1" applyProtection="1">
      <alignment horizontal="center" vertical="center"/>
      <protection locked="0"/>
    </xf>
    <xf numFmtId="0" fontId="255" fillId="87" borderId="85" xfId="0" applyFont="1" applyFill="1" applyBorder="1" applyAlignment="1" applyProtection="1">
      <alignment horizontal="center" vertical="center"/>
      <protection locked="0"/>
    </xf>
    <xf numFmtId="0" fontId="223" fillId="83" borderId="0" xfId="0" applyFont="1" applyFill="1" applyAlignment="1">
      <alignment horizontal="center" vertical="center"/>
    </xf>
    <xf numFmtId="0" fontId="252" fillId="83" borderId="0" xfId="0" applyFont="1" applyFill="1" applyAlignment="1">
      <alignment horizontal="center" vertical="center"/>
    </xf>
    <xf numFmtId="0" fontId="252" fillId="83" borderId="85" xfId="0" applyFont="1" applyFill="1" applyBorder="1" applyAlignment="1">
      <alignment horizontal="center" vertical="center"/>
    </xf>
    <xf numFmtId="0" fontId="265" fillId="83" borderId="80" xfId="0" applyFont="1" applyFill="1" applyBorder="1" applyAlignment="1">
      <alignment horizontal="center"/>
    </xf>
    <xf numFmtId="0" fontId="265" fillId="83" borderId="81" xfId="0" applyFont="1" applyFill="1" applyBorder="1" applyAlignment="1">
      <alignment horizontal="center"/>
    </xf>
    <xf numFmtId="0" fontId="265" fillId="83" borderId="82" xfId="0" applyFont="1" applyFill="1" applyBorder="1" applyAlignment="1">
      <alignment horizontal="center"/>
    </xf>
    <xf numFmtId="0" fontId="266" fillId="83" borderId="80" xfId="0" applyFont="1" applyFill="1" applyBorder="1" applyAlignment="1">
      <alignment horizontal="center" vertical="center"/>
    </xf>
    <xf numFmtId="0" fontId="266" fillId="83" borderId="82" xfId="0" applyFont="1" applyFill="1" applyBorder="1" applyAlignment="1">
      <alignment horizontal="center" vertical="center"/>
    </xf>
    <xf numFmtId="49" fontId="259" fillId="0" borderId="86" xfId="0" applyNumberFormat="1" applyFont="1" applyBorder="1" applyAlignment="1" applyProtection="1">
      <alignment horizontal="center" vertical="center"/>
      <protection locked="0"/>
    </xf>
    <xf numFmtId="0" fontId="259" fillId="0" borderId="87" xfId="0" applyFont="1" applyBorder="1" applyAlignment="1" applyProtection="1">
      <alignment horizontal="center" vertical="center"/>
      <protection locked="0"/>
    </xf>
    <xf numFmtId="0" fontId="259" fillId="0" borderId="88" xfId="0" applyFont="1" applyBorder="1" applyAlignment="1" applyProtection="1">
      <alignment horizontal="center" vertical="center"/>
      <protection locked="0"/>
    </xf>
    <xf numFmtId="1" fontId="227" fillId="0" borderId="80" xfId="0" applyNumberFormat="1" applyFont="1" applyBorder="1" applyAlignment="1" applyProtection="1">
      <alignment horizontal="center" vertical="center"/>
      <protection locked="0"/>
    </xf>
    <xf numFmtId="0" fontId="227" fillId="0" borderId="81" xfId="0" applyFont="1" applyBorder="1" applyAlignment="1" applyProtection="1">
      <alignment horizontal="center" vertical="center"/>
      <protection locked="0"/>
    </xf>
    <xf numFmtId="0" fontId="227" fillId="0" borderId="82" xfId="0" applyFont="1" applyBorder="1" applyAlignment="1" applyProtection="1">
      <alignment horizontal="center" vertical="center"/>
      <protection locked="0"/>
    </xf>
    <xf numFmtId="0" fontId="260" fillId="0" borderId="80" xfId="46" applyFont="1" applyFill="1" applyBorder="1" applyAlignment="1" applyProtection="1">
      <alignment horizontal="center" vertical="center"/>
      <protection locked="0"/>
    </xf>
    <xf numFmtId="0" fontId="265" fillId="84" borderId="80" xfId="0" applyFont="1" applyFill="1" applyBorder="1" applyAlignment="1">
      <alignment horizontal="center"/>
    </xf>
    <xf numFmtId="0" fontId="265" fillId="84" borderId="81" xfId="0" applyFont="1" applyFill="1" applyBorder="1" applyAlignment="1">
      <alignment horizontal="center"/>
    </xf>
    <xf numFmtId="0" fontId="265" fillId="84" borderId="82" xfId="0" applyFont="1" applyFill="1" applyBorder="1" applyAlignment="1">
      <alignment horizontal="center"/>
    </xf>
    <xf numFmtId="0" fontId="266" fillId="84" borderId="80" xfId="0" applyFont="1" applyFill="1" applyBorder="1" applyAlignment="1">
      <alignment horizontal="center" vertical="center"/>
    </xf>
    <xf numFmtId="0" fontId="266" fillId="84" borderId="82" xfId="0" applyFont="1" applyFill="1" applyBorder="1" applyAlignment="1">
      <alignment horizontal="center" vertical="center"/>
    </xf>
    <xf numFmtId="0" fontId="254" fillId="87" borderId="0" xfId="0" applyFont="1" applyFill="1" applyAlignment="1">
      <alignment horizontal="center"/>
    </xf>
    <xf numFmtId="0" fontId="120" fillId="87" borderId="0" xfId="0" applyFont="1" applyFill="1" applyAlignment="1">
      <alignment horizontal="center"/>
    </xf>
    <xf numFmtId="0" fontId="120" fillId="0" borderId="0" xfId="0" applyFont="1" applyAlignment="1">
      <alignment horizontal="center"/>
    </xf>
    <xf numFmtId="0" fontId="70" fillId="0" borderId="0" xfId="0" applyFont="1" applyAlignment="1">
      <alignment horizontal="center" vertical="center"/>
    </xf>
    <xf numFmtId="0" fontId="67" fillId="0" borderId="0" xfId="0" applyFont="1" applyAlignment="1">
      <alignment horizontal="center" vertical="center"/>
    </xf>
    <xf numFmtId="0" fontId="0" fillId="0" borderId="0" xfId="0" applyAlignment="1">
      <alignment horizontal="center"/>
    </xf>
    <xf numFmtId="0" fontId="107" fillId="0" borderId="0" xfId="0" applyFont="1" applyAlignment="1">
      <alignment horizontal="center" vertical="center"/>
    </xf>
    <xf numFmtId="0" fontId="106" fillId="0" borderId="0" xfId="0" applyFont="1" applyAlignment="1">
      <alignment horizontal="center" vertical="center"/>
    </xf>
    <xf numFmtId="0" fontId="146" fillId="0" borderId="0" xfId="0" applyFont="1" applyAlignment="1">
      <alignment horizontal="right" vertical="center"/>
    </xf>
    <xf numFmtId="0" fontId="143" fillId="0" borderId="0" xfId="0" applyFont="1" applyAlignment="1">
      <alignment horizontal="right" vertical="center"/>
    </xf>
    <xf numFmtId="0" fontId="137" fillId="0" borderId="0" xfId="0" applyFont="1" applyAlignment="1">
      <alignment horizontal="center" vertical="center"/>
    </xf>
    <xf numFmtId="0" fontId="143" fillId="0" borderId="0" xfId="0" applyFont="1" applyAlignment="1">
      <alignment horizontal="center" vertical="center"/>
    </xf>
    <xf numFmtId="0" fontId="105" fillId="27" borderId="0" xfId="0" applyFont="1" applyFill="1" applyAlignment="1">
      <alignment horizontal="center" vertical="center"/>
    </xf>
    <xf numFmtId="0" fontId="227" fillId="32" borderId="0" xfId="0" applyFont="1" applyFill="1" applyAlignment="1">
      <alignment horizontal="right" vertical="center"/>
    </xf>
    <xf numFmtId="0" fontId="4" fillId="32" borderId="0" xfId="0" applyFont="1" applyFill="1" applyAlignment="1">
      <alignment horizontal="right" vertical="center"/>
    </xf>
    <xf numFmtId="0" fontId="4" fillId="0" borderId="0" xfId="0" applyFont="1" applyAlignment="1">
      <alignment horizontal="left" vertical="center"/>
    </xf>
    <xf numFmtId="0" fontId="184" fillId="64" borderId="81" xfId="0" applyFont="1" applyFill="1" applyBorder="1" applyAlignment="1">
      <alignment horizontal="center" vertical="center"/>
    </xf>
    <xf numFmtId="0" fontId="184" fillId="64" borderId="82" xfId="0" applyFont="1" applyFill="1" applyBorder="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center" vertical="center"/>
    </xf>
    <xf numFmtId="0" fontId="31" fillId="0" borderId="0" xfId="46" applyFill="1" applyBorder="1" applyAlignment="1">
      <alignment horizontal="center" vertical="center"/>
    </xf>
    <xf numFmtId="0" fontId="184" fillId="29" borderId="81" xfId="0" applyFont="1" applyFill="1" applyBorder="1" applyAlignment="1">
      <alignment horizontal="center" vertical="center"/>
    </xf>
    <xf numFmtId="0" fontId="184" fillId="29" borderId="82" xfId="0" applyFont="1" applyFill="1" applyBorder="1" applyAlignment="1">
      <alignment horizontal="center" vertical="center"/>
    </xf>
    <xf numFmtId="0" fontId="153" fillId="29" borderId="80" xfId="0" applyFont="1" applyFill="1" applyBorder="1" applyAlignment="1">
      <alignment horizontal="center"/>
    </xf>
    <xf numFmtId="0" fontId="153" fillId="29" borderId="81" xfId="0" applyFont="1" applyFill="1" applyBorder="1" applyAlignment="1">
      <alignment horizontal="center"/>
    </xf>
    <xf numFmtId="0" fontId="153" fillId="29" borderId="82" xfId="0" applyFont="1" applyFill="1" applyBorder="1" applyAlignment="1">
      <alignment horizontal="center"/>
    </xf>
    <xf numFmtId="0" fontId="153" fillId="29" borderId="80" xfId="0" applyFont="1" applyFill="1" applyBorder="1" applyAlignment="1">
      <alignment horizontal="center" vertical="center"/>
    </xf>
    <xf numFmtId="0" fontId="153" fillId="29" borderId="82" xfId="0" applyFont="1" applyFill="1" applyBorder="1" applyAlignment="1">
      <alignment horizontal="center" vertical="center"/>
    </xf>
    <xf numFmtId="9" fontId="7" fillId="0" borderId="0" xfId="47" applyFont="1" applyFill="1" applyBorder="1" applyAlignment="1">
      <alignment horizontal="center" vertical="center" wrapText="1"/>
    </xf>
    <xf numFmtId="9" fontId="7" fillId="0" borderId="0" xfId="47" applyFont="1" applyFill="1" applyAlignment="1">
      <alignment horizontal="center" vertical="center" wrapText="1"/>
    </xf>
    <xf numFmtId="9" fontId="33" fillId="62" borderId="0" xfId="47" applyFont="1" applyFill="1" applyBorder="1" applyAlignment="1">
      <alignment horizontal="center" vertical="center" wrapText="1"/>
    </xf>
    <xf numFmtId="9" fontId="33" fillId="62" borderId="19" xfId="47" applyFont="1" applyFill="1" applyBorder="1" applyAlignment="1">
      <alignment horizontal="center" vertical="center" wrapText="1"/>
    </xf>
    <xf numFmtId="9" fontId="5" fillId="83" borderId="0" xfId="47" applyFont="1" applyFill="1" applyBorder="1" applyAlignment="1">
      <alignment horizontal="center" vertical="center"/>
    </xf>
    <xf numFmtId="9" fontId="5" fillId="83" borderId="19" xfId="47" applyFont="1" applyFill="1" applyBorder="1" applyAlignment="1">
      <alignment horizontal="center" vertical="center"/>
    </xf>
    <xf numFmtId="9" fontId="5" fillId="0" borderId="0" xfId="47" applyFont="1" applyFill="1" applyBorder="1" applyAlignment="1">
      <alignment horizontal="center" vertical="center" wrapText="1"/>
    </xf>
    <xf numFmtId="9" fontId="5" fillId="0" borderId="19" xfId="47" applyFont="1" applyFill="1" applyBorder="1" applyAlignment="1">
      <alignment horizontal="center" vertical="center" wrapText="1"/>
    </xf>
    <xf numFmtId="0" fontId="86" fillId="27" borderId="85" xfId="0" applyFont="1" applyFill="1" applyBorder="1" applyAlignment="1">
      <alignment horizontal="center" vertical="center"/>
    </xf>
    <xf numFmtId="0" fontId="268" fillId="64" borderId="80" xfId="0" applyFont="1" applyFill="1" applyBorder="1" applyAlignment="1">
      <alignment horizontal="center"/>
    </xf>
    <xf numFmtId="0" fontId="153" fillId="64" borderId="81" xfId="0" applyFont="1" applyFill="1" applyBorder="1" applyAlignment="1">
      <alignment horizontal="center"/>
    </xf>
    <xf numFmtId="0" fontId="153" fillId="64" borderId="82" xfId="0" applyFont="1" applyFill="1" applyBorder="1" applyAlignment="1">
      <alignment horizontal="center"/>
    </xf>
    <xf numFmtId="0" fontId="153" fillId="64" borderId="80" xfId="0" applyFont="1" applyFill="1" applyBorder="1" applyAlignment="1">
      <alignment horizontal="center" vertical="center"/>
    </xf>
    <xf numFmtId="0" fontId="153" fillId="64" borderId="82" xfId="0" applyFont="1" applyFill="1" applyBorder="1" applyAlignment="1">
      <alignment horizontal="center" vertical="center"/>
    </xf>
    <xf numFmtId="0" fontId="255" fillId="27" borderId="0" xfId="0" applyFont="1" applyFill="1" applyAlignment="1">
      <alignment horizontal="center" vertical="center"/>
    </xf>
    <xf numFmtId="0" fontId="1" fillId="27" borderId="91" xfId="0" applyFont="1" applyFill="1" applyBorder="1" applyAlignment="1">
      <alignment horizontal="center"/>
    </xf>
    <xf numFmtId="0" fontId="1" fillId="27" borderId="22" xfId="0" applyFont="1" applyFill="1" applyBorder="1" applyAlignment="1">
      <alignment horizontal="center"/>
    </xf>
    <xf numFmtId="0" fontId="1" fillId="27" borderId="103" xfId="0" applyFont="1" applyFill="1" applyBorder="1" applyAlignment="1">
      <alignment horizontal="center"/>
    </xf>
    <xf numFmtId="0" fontId="150" fillId="27" borderId="0" xfId="0" applyFont="1" applyFill="1" applyAlignment="1">
      <alignment horizontal="center"/>
    </xf>
    <xf numFmtId="0" fontId="185" fillId="27" borderId="0" xfId="0" applyFont="1" applyFill="1" applyAlignment="1">
      <alignment horizontal="center"/>
    </xf>
    <xf numFmtId="0" fontId="69" fillId="0" borderId="80" xfId="0" applyFont="1" applyBorder="1" applyAlignment="1">
      <alignment horizontal="center" vertical="center"/>
    </xf>
    <xf numFmtId="0" fontId="69" fillId="0" borderId="35" xfId="0" applyFont="1" applyBorder="1" applyAlignment="1">
      <alignment horizontal="center" vertical="center"/>
    </xf>
    <xf numFmtId="0" fontId="69" fillId="0" borderId="81" xfId="0" applyFont="1" applyBorder="1" applyAlignment="1">
      <alignment horizontal="center" vertical="center"/>
    </xf>
    <xf numFmtId="0" fontId="69" fillId="0" borderId="82" xfId="0" applyFont="1" applyBorder="1" applyAlignment="1">
      <alignment horizontal="center" vertical="center"/>
    </xf>
    <xf numFmtId="0" fontId="69" fillId="0" borderId="122" xfId="0" applyFont="1" applyBorder="1" applyAlignment="1">
      <alignment horizontal="center" vertical="center"/>
    </xf>
    <xf numFmtId="0" fontId="69" fillId="0" borderId="14" xfId="0" applyFont="1" applyBorder="1" applyAlignment="1">
      <alignment horizontal="center" vertical="center"/>
    </xf>
    <xf numFmtId="0" fontId="69" fillId="0" borderId="67" xfId="0" applyFont="1" applyBorder="1" applyAlignment="1">
      <alignment horizontal="center" vertical="center"/>
    </xf>
    <xf numFmtId="0" fontId="69" fillId="0" borderId="123" xfId="0" applyFont="1" applyBorder="1" applyAlignment="1">
      <alignment horizontal="center" vertical="center"/>
    </xf>
    <xf numFmtId="0" fontId="162" fillId="0" borderId="0" xfId="0" applyFont="1" applyAlignment="1">
      <alignment horizontal="center"/>
    </xf>
    <xf numFmtId="0" fontId="253" fillId="80" borderId="0" xfId="0" applyFont="1" applyFill="1" applyAlignment="1">
      <alignment horizontal="center"/>
    </xf>
    <xf numFmtId="0" fontId="63" fillId="64" borderId="80" xfId="0" applyFont="1" applyFill="1" applyBorder="1" applyAlignment="1">
      <alignment horizontal="center"/>
    </xf>
    <xf numFmtId="0" fontId="63" fillId="64" borderId="81" xfId="0" applyFont="1" applyFill="1" applyBorder="1" applyAlignment="1">
      <alignment horizontal="center"/>
    </xf>
    <xf numFmtId="0" fontId="63" fillId="64" borderId="82" xfId="0" applyFont="1" applyFill="1" applyBorder="1" applyAlignment="1">
      <alignment horizontal="center"/>
    </xf>
    <xf numFmtId="0" fontId="184" fillId="64" borderId="80" xfId="0" applyFont="1" applyFill="1" applyBorder="1" applyAlignment="1">
      <alignment horizontal="center" vertical="center"/>
    </xf>
    <xf numFmtId="49" fontId="6" fillId="0" borderId="86" xfId="0" applyNumberFormat="1"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31" fillId="0" borderId="80" xfId="46" applyFill="1" applyBorder="1" applyAlignment="1">
      <alignment horizontal="center" vertical="center"/>
    </xf>
    <xf numFmtId="0" fontId="63" fillId="29" borderId="80" xfId="0" applyFont="1" applyFill="1" applyBorder="1" applyAlignment="1">
      <alignment horizontal="center"/>
    </xf>
    <xf numFmtId="0" fontId="63" fillId="29" borderId="81" xfId="0" applyFont="1" applyFill="1" applyBorder="1" applyAlignment="1">
      <alignment horizontal="center"/>
    </xf>
    <xf numFmtId="0" fontId="63" fillId="29" borderId="82" xfId="0" applyFont="1" applyFill="1" applyBorder="1" applyAlignment="1">
      <alignment horizontal="center"/>
    </xf>
    <xf numFmtId="0" fontId="184" fillId="29" borderId="80" xfId="0" applyFont="1" applyFill="1" applyBorder="1" applyAlignment="1">
      <alignment horizontal="center" vertical="center"/>
    </xf>
    <xf numFmtId="9" fontId="5" fillId="28" borderId="0" xfId="47" applyFont="1" applyFill="1" applyBorder="1" applyAlignment="1">
      <alignment horizontal="center" vertical="center"/>
    </xf>
    <xf numFmtId="9" fontId="5" fillId="28" borderId="19" xfId="47" applyFont="1" applyFill="1" applyBorder="1" applyAlignment="1">
      <alignment horizontal="center" vertical="center"/>
    </xf>
    <xf numFmtId="0" fontId="86" fillId="81" borderId="0" xfId="0" applyFont="1" applyFill="1" applyAlignment="1">
      <alignment horizontal="center" vertical="center"/>
    </xf>
    <xf numFmtId="0" fontId="86" fillId="81" borderId="85" xfId="0" applyFont="1" applyFill="1" applyBorder="1" applyAlignment="1">
      <alignment horizontal="center" vertical="center"/>
    </xf>
    <xf numFmtId="0" fontId="153" fillId="64" borderId="80" xfId="0" applyFont="1" applyFill="1" applyBorder="1" applyAlignment="1">
      <alignment horizontal="center"/>
    </xf>
    <xf numFmtId="0" fontId="252" fillId="81" borderId="0" xfId="0" applyFont="1" applyFill="1" applyAlignment="1">
      <alignment horizontal="center" vertical="center"/>
    </xf>
    <xf numFmtId="0" fontId="252" fillId="81" borderId="85" xfId="0" applyFont="1" applyFill="1" applyBorder="1" applyAlignment="1">
      <alignment horizontal="center" vertical="center"/>
    </xf>
    <xf numFmtId="0" fontId="69" fillId="64" borderId="80" xfId="0" applyFont="1" applyFill="1" applyBorder="1" applyAlignment="1">
      <alignment horizontal="center" vertical="center"/>
    </xf>
    <xf numFmtId="0" fontId="69" fillId="64" borderId="35" xfId="0" applyFont="1" applyFill="1" applyBorder="1" applyAlignment="1">
      <alignment horizontal="center" vertical="center"/>
    </xf>
    <xf numFmtId="0" fontId="69" fillId="64" borderId="81" xfId="0" applyFont="1" applyFill="1" applyBorder="1" applyAlignment="1">
      <alignment horizontal="center" vertical="center"/>
    </xf>
    <xf numFmtId="0" fontId="69" fillId="64" borderId="82" xfId="0" applyFont="1" applyFill="1" applyBorder="1" applyAlignment="1">
      <alignment horizontal="center" vertical="center"/>
    </xf>
    <xf numFmtId="0" fontId="69" fillId="29" borderId="80" xfId="0" applyFont="1" applyFill="1" applyBorder="1" applyAlignment="1">
      <alignment horizontal="center" vertical="center"/>
    </xf>
    <xf numFmtId="0" fontId="69" fillId="29" borderId="81" xfId="0" applyFont="1" applyFill="1" applyBorder="1" applyAlignment="1">
      <alignment horizontal="center" vertical="center"/>
    </xf>
    <xf numFmtId="0" fontId="69" fillId="29" borderId="35" xfId="0" applyFont="1" applyFill="1" applyBorder="1" applyAlignment="1">
      <alignment horizontal="center" vertical="center"/>
    </xf>
    <xf numFmtId="0" fontId="69" fillId="29" borderId="82" xfId="0" applyFont="1" applyFill="1" applyBorder="1" applyAlignment="1">
      <alignment horizontal="center" vertical="center"/>
    </xf>
    <xf numFmtId="0" fontId="86" fillId="80" borderId="0" xfId="0" applyFont="1" applyFill="1" applyAlignment="1">
      <alignment horizontal="center" vertical="center"/>
    </xf>
    <xf numFmtId="0" fontId="86" fillId="80" borderId="85" xfId="0" applyFont="1" applyFill="1" applyBorder="1" applyAlignment="1">
      <alignment horizontal="center" vertical="center"/>
    </xf>
    <xf numFmtId="0" fontId="252" fillId="80" borderId="0" xfId="0" applyFont="1" applyFill="1" applyAlignment="1">
      <alignment horizontal="center" vertical="center"/>
    </xf>
    <xf numFmtId="0" fontId="252" fillId="80" borderId="85" xfId="0" applyFont="1" applyFill="1" applyBorder="1" applyAlignment="1">
      <alignment horizontal="center" vertical="center"/>
    </xf>
    <xf numFmtId="9" fontId="37" fillId="0" borderId="0" xfId="47" applyFont="1" applyFill="1" applyBorder="1" applyAlignment="1">
      <alignment horizontal="center" vertical="center" wrapText="1"/>
    </xf>
    <xf numFmtId="9" fontId="37" fillId="0" borderId="0" xfId="47" applyFont="1" applyFill="1" applyAlignment="1">
      <alignment horizontal="center" vertical="center" wrapText="1"/>
    </xf>
    <xf numFmtId="9" fontId="5" fillId="29" borderId="0" xfId="47" applyFont="1" applyFill="1" applyBorder="1" applyAlignment="1">
      <alignment horizontal="center" vertical="center"/>
    </xf>
    <xf numFmtId="9" fontId="5" fillId="29" borderId="19" xfId="47" applyFont="1" applyFill="1" applyBorder="1" applyAlignment="1">
      <alignment horizontal="center" vertical="center"/>
    </xf>
    <xf numFmtId="0" fontId="31" fillId="0" borderId="36" xfId="46" applyFill="1" applyBorder="1" applyAlignment="1">
      <alignment horizontal="center"/>
    </xf>
    <xf numFmtId="0" fontId="31" fillId="0" borderId="0" xfId="46" applyFill="1" applyAlignment="1">
      <alignment horizontal="center"/>
    </xf>
    <xf numFmtId="0" fontId="50" fillId="30" borderId="36" xfId="0" applyFont="1" applyFill="1" applyBorder="1" applyAlignment="1">
      <alignment horizontal="center"/>
    </xf>
    <xf numFmtId="0" fontId="50" fillId="30" borderId="0" xfId="0" applyFont="1" applyFill="1" applyAlignment="1">
      <alignment horizontal="center"/>
    </xf>
    <xf numFmtId="0" fontId="121" fillId="30" borderId="36" xfId="0" applyFont="1" applyFill="1" applyBorder="1" applyAlignment="1">
      <alignment horizontal="right" vertical="center"/>
    </xf>
    <xf numFmtId="0" fontId="121" fillId="30" borderId="0" xfId="0" applyFont="1" applyFill="1" applyAlignment="1">
      <alignment horizontal="right" vertical="center"/>
    </xf>
    <xf numFmtId="0" fontId="205" fillId="0" borderId="0" xfId="0" applyFont="1" applyAlignment="1">
      <alignment horizontal="center"/>
    </xf>
    <xf numFmtId="0" fontId="49" fillId="38" borderId="0" xfId="0" applyFont="1" applyFill="1" applyAlignment="1">
      <alignment horizontal="center"/>
    </xf>
    <xf numFmtId="0" fontId="68" fillId="0" borderId="0" xfId="0" applyFont="1" applyAlignment="1">
      <alignment horizontal="center" vertical="center"/>
    </xf>
    <xf numFmtId="0" fontId="131" fillId="0" borderId="0" xfId="0" applyFont="1" applyAlignment="1">
      <alignment horizontal="center" vertical="center"/>
    </xf>
    <xf numFmtId="0" fontId="52" fillId="40" borderId="0" xfId="0" applyFont="1" applyFill="1" applyAlignment="1">
      <alignment horizontal="center"/>
    </xf>
    <xf numFmtId="0" fontId="46" fillId="48" borderId="0" xfId="0" applyFont="1" applyFill="1" applyAlignment="1">
      <alignment horizontal="center"/>
    </xf>
    <xf numFmtId="0" fontId="46" fillId="0" borderId="0" xfId="0" applyFont="1" applyAlignment="1">
      <alignment horizontal="center"/>
    </xf>
    <xf numFmtId="9" fontId="49" fillId="48" borderId="0" xfId="0" applyNumberFormat="1" applyFont="1" applyFill="1" applyAlignment="1">
      <alignment horizontal="center"/>
    </xf>
    <xf numFmtId="0" fontId="49" fillId="48" borderId="0" xfId="0" applyFont="1" applyFill="1" applyAlignment="1">
      <alignment horizontal="center"/>
    </xf>
    <xf numFmtId="0" fontId="46" fillId="38" borderId="0" xfId="0" applyFont="1" applyFill="1" applyAlignment="1">
      <alignment horizontal="center"/>
    </xf>
    <xf numFmtId="0" fontId="58" fillId="0" borderId="0" xfId="0" applyFont="1" applyAlignment="1">
      <alignment horizontal="center"/>
    </xf>
    <xf numFmtId="0" fontId="61" fillId="59" borderId="0" xfId="0" applyFont="1" applyFill="1" applyAlignment="1">
      <alignment horizontal="center"/>
    </xf>
    <xf numFmtId="0" fontId="46" fillId="59" borderId="42" xfId="0" applyFont="1" applyFill="1" applyBorder="1" applyAlignment="1">
      <alignment horizontal="center"/>
    </xf>
    <xf numFmtId="0" fontId="46" fillId="59" borderId="0" xfId="0" applyFont="1" applyFill="1" applyAlignment="1">
      <alignment horizontal="center"/>
    </xf>
    <xf numFmtId="0" fontId="46" fillId="41" borderId="67" xfId="0" applyFont="1" applyFill="1" applyBorder="1" applyAlignment="1">
      <alignment horizontal="center" vertical="center"/>
    </xf>
    <xf numFmtId="0" fontId="46" fillId="0" borderId="0" xfId="0" applyFont="1" applyAlignment="1">
      <alignment horizontal="center" vertical="center"/>
    </xf>
    <xf numFmtId="0" fontId="49" fillId="41" borderId="0" xfId="0" applyFont="1" applyFill="1" applyAlignment="1">
      <alignment horizontal="center" vertical="center"/>
    </xf>
    <xf numFmtId="0" fontId="204" fillId="0" borderId="0" xfId="0" applyFont="1" applyAlignment="1">
      <alignment horizontal="center"/>
    </xf>
    <xf numFmtId="0" fontId="51" fillId="40" borderId="0" xfId="0" applyFont="1" applyFill="1" applyAlignment="1">
      <alignment horizontal="center"/>
    </xf>
    <xf numFmtId="164" fontId="47" fillId="55" borderId="0" xfId="0" applyNumberFormat="1" applyFont="1" applyFill="1"/>
    <xf numFmtId="164" fontId="207" fillId="27" borderId="0" xfId="0" applyNumberFormat="1" applyFont="1" applyFill="1" applyAlignment="1">
      <alignment horizontal="center" vertical="center"/>
    </xf>
    <xf numFmtId="0" fontId="207" fillId="27" borderId="0" xfId="0" applyFont="1" applyFill="1" applyAlignment="1">
      <alignment horizontal="center" vertical="center"/>
    </xf>
    <xf numFmtId="0" fontId="54" fillId="70" borderId="0" xfId="0" applyFont="1" applyFill="1" applyAlignment="1">
      <alignment horizontal="center" vertical="center"/>
    </xf>
    <xf numFmtId="0" fontId="46" fillId="32" borderId="0" xfId="0" applyFont="1" applyFill="1" applyAlignment="1">
      <alignment horizontal="center" vertical="center"/>
    </xf>
    <xf numFmtId="0" fontId="165" fillId="32" borderId="0" xfId="0" applyFont="1" applyFill="1" applyAlignment="1">
      <alignment horizontal="center" vertical="center"/>
    </xf>
    <xf numFmtId="0" fontId="0" fillId="68" borderId="0" xfId="0" applyFill="1" applyAlignment="1">
      <alignment horizontal="center" vertical="center"/>
    </xf>
    <xf numFmtId="0" fontId="51" fillId="68" borderId="0" xfId="0" applyFont="1" applyFill="1" applyAlignment="1">
      <alignment horizontal="center" vertical="center" wrapText="1"/>
    </xf>
    <xf numFmtId="0" fontId="51" fillId="68" borderId="0" xfId="0" applyFont="1" applyFill="1" applyAlignment="1">
      <alignment horizontal="center" vertical="center"/>
    </xf>
    <xf numFmtId="164" fontId="136" fillId="59" borderId="0" xfId="28" applyNumberFormat="1" applyFont="1" applyFill="1" applyAlignment="1">
      <alignment horizontal="center"/>
    </xf>
    <xf numFmtId="164" fontId="136" fillId="59" borderId="0" xfId="0" applyNumberFormat="1" applyFont="1" applyFill="1"/>
    <xf numFmtId="164" fontId="190" fillId="68" borderId="0" xfId="0" applyNumberFormat="1" applyFont="1" applyFill="1" applyAlignment="1">
      <alignment horizontal="center"/>
    </xf>
    <xf numFmtId="164" fontId="190" fillId="27" borderId="0" xfId="0" applyNumberFormat="1" applyFont="1" applyFill="1" applyAlignment="1">
      <alignment horizontal="center" vertical="center"/>
    </xf>
    <xf numFmtId="0" fontId="190" fillId="27" borderId="0" xfId="0" applyFont="1" applyFill="1" applyAlignment="1">
      <alignment horizontal="center" vertical="center"/>
    </xf>
    <xf numFmtId="0" fontId="63" fillId="48" borderId="80" xfId="0" applyFont="1" applyFill="1" applyBorder="1" applyAlignment="1">
      <alignment horizontal="center"/>
    </xf>
    <xf numFmtId="0" fontId="63" fillId="48" borderId="81" xfId="0" applyFont="1" applyFill="1" applyBorder="1" applyAlignment="1">
      <alignment horizontal="center"/>
    </xf>
    <xf numFmtId="0" fontId="63" fillId="48" borderId="82" xfId="0" applyFont="1" applyFill="1" applyBorder="1" applyAlignment="1">
      <alignment horizontal="center"/>
    </xf>
    <xf numFmtId="0" fontId="184" fillId="48" borderId="80" xfId="0" applyFont="1" applyFill="1" applyBorder="1" applyAlignment="1">
      <alignment horizontal="center" vertical="center"/>
    </xf>
    <xf numFmtId="0" fontId="184" fillId="48" borderId="82" xfId="0" applyFont="1" applyFill="1" applyBorder="1" applyAlignment="1">
      <alignment horizontal="center" vertical="center"/>
    </xf>
    <xf numFmtId="0" fontId="31" fillId="61" borderId="80" xfId="46" applyFill="1" applyBorder="1" applyAlignment="1">
      <alignment horizontal="center" vertical="center"/>
    </xf>
    <xf numFmtId="9" fontId="37" fillId="54" borderId="0" xfId="47" applyFont="1" applyFill="1" applyBorder="1" applyAlignment="1">
      <alignment horizontal="center" vertical="center" wrapText="1"/>
    </xf>
    <xf numFmtId="9" fontId="37" fillId="54" borderId="0" xfId="47" applyFont="1" applyFill="1" applyAlignment="1">
      <alignment horizontal="center" vertical="center" wrapText="1"/>
    </xf>
    <xf numFmtId="9" fontId="5" fillId="48" borderId="0" xfId="47" applyFont="1" applyFill="1" applyBorder="1" applyAlignment="1">
      <alignment horizontal="center" vertical="center" wrapText="1"/>
    </xf>
    <xf numFmtId="9" fontId="5" fillId="48" borderId="19" xfId="47" applyFont="1" applyFill="1" applyBorder="1" applyAlignment="1">
      <alignment horizontal="center" vertical="center" wrapText="1"/>
    </xf>
    <xf numFmtId="0" fontId="1" fillId="30" borderId="0" xfId="0" applyFont="1" applyFill="1" applyAlignment="1">
      <alignment horizontal="center"/>
    </xf>
    <xf numFmtId="0" fontId="1" fillId="30" borderId="85" xfId="0" applyFont="1" applyFill="1" applyBorder="1" applyAlignment="1">
      <alignment horizontal="center"/>
    </xf>
    <xf numFmtId="0" fontId="153" fillId="48" borderId="80" xfId="0" applyFont="1" applyFill="1" applyBorder="1" applyAlignment="1">
      <alignment horizontal="center"/>
    </xf>
    <xf numFmtId="0" fontId="153" fillId="48" borderId="81" xfId="0" applyFont="1" applyFill="1" applyBorder="1" applyAlignment="1">
      <alignment horizontal="center"/>
    </xf>
    <xf numFmtId="0" fontId="153" fillId="48" borderId="82" xfId="0" applyFont="1" applyFill="1" applyBorder="1" applyAlignment="1">
      <alignment horizontal="center"/>
    </xf>
    <xf numFmtId="0" fontId="153" fillId="48" borderId="80" xfId="0" applyFont="1" applyFill="1" applyBorder="1" applyAlignment="1">
      <alignment horizontal="center" vertical="center"/>
    </xf>
    <xf numFmtId="0" fontId="153" fillId="48" borderId="82" xfId="0" applyFont="1" applyFill="1" applyBorder="1" applyAlignment="1">
      <alignment horizontal="center" vertical="center"/>
    </xf>
    <xf numFmtId="0" fontId="150" fillId="30" borderId="0" xfId="0" applyFont="1" applyFill="1" applyAlignment="1">
      <alignment horizontal="center" vertical="center"/>
    </xf>
    <xf numFmtId="0" fontId="150" fillId="30" borderId="85" xfId="0" applyFont="1" applyFill="1" applyBorder="1" applyAlignment="1">
      <alignment horizontal="center" vertical="center"/>
    </xf>
    <xf numFmtId="0" fontId="35" fillId="30" borderId="23" xfId="0" applyFont="1" applyFill="1" applyBorder="1" applyAlignment="1">
      <alignment horizontal="center"/>
    </xf>
    <xf numFmtId="0" fontId="35" fillId="30" borderId="89" xfId="0" applyFont="1" applyFill="1" applyBorder="1" applyAlignment="1">
      <alignment horizontal="center"/>
    </xf>
    <xf numFmtId="0" fontId="35" fillId="30" borderId="25" xfId="0" applyFont="1" applyFill="1" applyBorder="1" applyAlignment="1">
      <alignment horizontal="center"/>
    </xf>
    <xf numFmtId="0" fontId="150" fillId="30" borderId="23" xfId="0" applyFont="1" applyFill="1" applyBorder="1" applyAlignment="1">
      <alignment horizontal="center"/>
    </xf>
    <xf numFmtId="0" fontId="185" fillId="30" borderId="89" xfId="0" applyFont="1" applyFill="1" applyBorder="1" applyAlignment="1">
      <alignment horizontal="center"/>
    </xf>
    <xf numFmtId="0" fontId="35" fillId="30" borderId="94" xfId="0" applyFont="1" applyFill="1" applyBorder="1" applyAlignment="1">
      <alignment horizontal="center"/>
    </xf>
    <xf numFmtId="0" fontId="35" fillId="30" borderId="95" xfId="0" applyFont="1" applyFill="1" applyBorder="1" applyAlignment="1">
      <alignment horizontal="center"/>
    </xf>
    <xf numFmtId="0" fontId="35" fillId="30" borderId="96" xfId="0" applyFont="1" applyFill="1" applyBorder="1" applyAlignment="1">
      <alignment horizontal="center"/>
    </xf>
    <xf numFmtId="0" fontId="69" fillId="48" borderId="80" xfId="0" applyFont="1" applyFill="1" applyBorder="1" applyAlignment="1">
      <alignment horizontal="center" vertical="center"/>
    </xf>
    <xf numFmtId="0" fontId="69" fillId="48" borderId="81" xfId="0" applyFont="1" applyFill="1" applyBorder="1" applyAlignment="1">
      <alignment horizontal="center" vertical="center"/>
    </xf>
    <xf numFmtId="0" fontId="69" fillId="48" borderId="82" xfId="0" applyFont="1" applyFill="1" applyBorder="1" applyAlignment="1">
      <alignment horizontal="center" vertical="center"/>
    </xf>
    <xf numFmtId="0" fontId="69" fillId="41" borderId="80" xfId="0" applyFont="1" applyFill="1" applyBorder="1" applyAlignment="1">
      <alignment horizontal="center" vertical="center"/>
    </xf>
    <xf numFmtId="0" fontId="69" fillId="41" borderId="81" xfId="0" applyFont="1" applyFill="1" applyBorder="1" applyAlignment="1">
      <alignment horizontal="center" vertical="center"/>
    </xf>
    <xf numFmtId="0" fontId="69" fillId="41" borderId="82" xfId="0" applyFont="1" applyFill="1" applyBorder="1" applyAlignment="1">
      <alignment horizontal="center" vertical="center"/>
    </xf>
    <xf numFmtId="0" fontId="161" fillId="30" borderId="43" xfId="0" applyFont="1" applyFill="1" applyBorder="1" applyAlignment="1">
      <alignment horizontal="center"/>
    </xf>
    <xf numFmtId="0" fontId="161" fillId="30" borderId="0" xfId="0" applyFont="1" applyFill="1" applyAlignment="1">
      <alignment horizontal="center"/>
    </xf>
    <xf numFmtId="0" fontId="115" fillId="30" borderId="0" xfId="46" applyFont="1" applyFill="1" applyAlignment="1">
      <alignment horizontal="center" vertical="center"/>
    </xf>
    <xf numFmtId="164" fontId="82" fillId="30" borderId="0" xfId="0" applyNumberFormat="1" applyFont="1" applyFill="1" applyAlignment="1">
      <alignment horizontal="center"/>
    </xf>
    <xf numFmtId="0" fontId="0" fillId="30" borderId="0" xfId="0" applyFill="1" applyAlignment="1">
      <alignment horizontal="center"/>
    </xf>
    <xf numFmtId="164" fontId="189" fillId="27" borderId="0" xfId="0" applyNumberFormat="1" applyFont="1" applyFill="1" applyAlignment="1">
      <alignment horizontal="center" vertical="center"/>
    </xf>
    <xf numFmtId="164" fontId="189" fillId="27" borderId="62" xfId="0" applyNumberFormat="1" applyFont="1" applyFill="1" applyBorder="1" applyAlignment="1">
      <alignment horizontal="center" vertical="center"/>
    </xf>
    <xf numFmtId="0" fontId="58" fillId="30" borderId="0" xfId="0" applyFont="1" applyFill="1" applyAlignment="1">
      <alignment horizontal="right" vertical="center"/>
    </xf>
    <xf numFmtId="0" fontId="1" fillId="43" borderId="0" xfId="0" applyFont="1" applyFill="1" applyAlignment="1">
      <alignment horizontal="center"/>
    </xf>
    <xf numFmtId="0" fontId="1" fillId="43" borderId="85" xfId="0" applyFont="1" applyFill="1" applyBorder="1" applyAlignment="1">
      <alignment horizontal="center"/>
    </xf>
    <xf numFmtId="0" fontId="162" fillId="43" borderId="0" xfId="0" applyFont="1" applyFill="1" applyAlignment="1">
      <alignment horizontal="center" vertical="center"/>
    </xf>
    <xf numFmtId="0" fontId="162" fillId="43" borderId="85" xfId="0" applyFont="1" applyFill="1" applyBorder="1" applyAlignment="1">
      <alignment horizontal="center" vertical="center"/>
    </xf>
    <xf numFmtId="0" fontId="35" fillId="43" borderId="23" xfId="0" applyFont="1" applyFill="1" applyBorder="1" applyAlignment="1">
      <alignment horizontal="center"/>
    </xf>
    <xf numFmtId="0" fontId="35" fillId="43" borderId="89" xfId="0" applyFont="1" applyFill="1" applyBorder="1" applyAlignment="1">
      <alignment horizontal="center"/>
    </xf>
    <xf numFmtId="0" fontId="35" fillId="43" borderId="25" xfId="0" applyFont="1" applyFill="1" applyBorder="1" applyAlignment="1">
      <alignment horizontal="center"/>
    </xf>
    <xf numFmtId="0" fontId="162" fillId="43" borderId="23" xfId="0" applyFont="1" applyFill="1" applyBorder="1" applyAlignment="1">
      <alignment horizontal="center"/>
    </xf>
    <xf numFmtId="0" fontId="188" fillId="43" borderId="89" xfId="0" applyFont="1" applyFill="1" applyBorder="1" applyAlignment="1">
      <alignment horizontal="center"/>
    </xf>
    <xf numFmtId="0" fontId="1" fillId="43" borderId="94" xfId="0" applyFont="1" applyFill="1" applyBorder="1" applyAlignment="1">
      <alignment horizontal="center"/>
    </xf>
    <xf numFmtId="0" fontId="1" fillId="43" borderId="95" xfId="0" applyFont="1" applyFill="1" applyBorder="1" applyAlignment="1">
      <alignment horizontal="center"/>
    </xf>
    <xf numFmtId="0" fontId="1" fillId="43" borderId="96" xfId="0" applyFont="1" applyFill="1" applyBorder="1" applyAlignment="1">
      <alignment horizontal="center"/>
    </xf>
    <xf numFmtId="0" fontId="61" fillId="43" borderId="11" xfId="0" applyFont="1" applyFill="1" applyBorder="1" applyAlignment="1">
      <alignment horizontal="right" vertical="center"/>
    </xf>
    <xf numFmtId="164" fontId="85" fillId="43" borderId="0" xfId="28" applyNumberFormat="1" applyFont="1" applyFill="1" applyAlignment="1">
      <alignment horizontal="center" vertical="center"/>
    </xf>
    <xf numFmtId="0" fontId="2" fillId="43" borderId="0" xfId="0" applyFont="1" applyFill="1" applyAlignment="1">
      <alignment horizontal="center" vertical="center"/>
    </xf>
    <xf numFmtId="0" fontId="105" fillId="43" borderId="0" xfId="0" applyFont="1" applyFill="1" applyAlignment="1">
      <alignment horizontal="center"/>
    </xf>
    <xf numFmtId="0" fontId="61" fillId="43" borderId="42" xfId="0" applyFont="1" applyFill="1" applyBorder="1" applyAlignment="1">
      <alignment horizontal="right" vertical="center"/>
    </xf>
    <xf numFmtId="0" fontId="0" fillId="43" borderId="0" xfId="0" applyFill="1" applyAlignment="1">
      <alignment horizontal="center"/>
    </xf>
    <xf numFmtId="0" fontId="194" fillId="43" borderId="43" xfId="0" applyFont="1" applyFill="1" applyBorder="1" applyAlignment="1">
      <alignment horizontal="center"/>
    </xf>
    <xf numFmtId="0" fontId="194" fillId="43" borderId="0" xfId="0" applyFont="1" applyFill="1" applyAlignment="1">
      <alignment horizontal="center"/>
    </xf>
    <xf numFmtId="0" fontId="31" fillId="43" borderId="0" xfId="46" applyFill="1" applyAlignment="1">
      <alignment horizontal="center" vertical="center"/>
    </xf>
    <xf numFmtId="164" fontId="82" fillId="43" borderId="0" xfId="0" applyNumberFormat="1" applyFont="1" applyFill="1" applyAlignment="1">
      <alignment horizontal="center"/>
    </xf>
    <xf numFmtId="0" fontId="1" fillId="44" borderId="0" xfId="0" applyFont="1" applyFill="1" applyAlignment="1">
      <alignment horizontal="center"/>
    </xf>
    <xf numFmtId="0" fontId="1" fillId="44" borderId="85" xfId="0" applyFont="1" applyFill="1" applyBorder="1" applyAlignment="1">
      <alignment horizontal="center"/>
    </xf>
    <xf numFmtId="0" fontId="162" fillId="44" borderId="0" xfId="0" applyFont="1" applyFill="1" applyAlignment="1">
      <alignment horizontal="center" vertical="center"/>
    </xf>
    <xf numFmtId="0" fontId="162" fillId="44" borderId="85" xfId="0" applyFont="1" applyFill="1" applyBorder="1" applyAlignment="1">
      <alignment horizontal="center" vertical="center"/>
    </xf>
    <xf numFmtId="0" fontId="35" fillId="44" borderId="23" xfId="0" applyFont="1" applyFill="1" applyBorder="1" applyAlignment="1">
      <alignment horizontal="center"/>
    </xf>
    <xf numFmtId="0" fontId="35" fillId="44" borderId="89" xfId="0" applyFont="1" applyFill="1" applyBorder="1" applyAlignment="1">
      <alignment horizontal="center"/>
    </xf>
    <xf numFmtId="0" fontId="35" fillId="44" borderId="25" xfId="0" applyFont="1" applyFill="1" applyBorder="1" applyAlignment="1">
      <alignment horizontal="center"/>
    </xf>
    <xf numFmtId="0" fontId="162" fillId="44" borderId="23" xfId="0" applyFont="1" applyFill="1" applyBorder="1" applyAlignment="1">
      <alignment horizontal="center"/>
    </xf>
    <xf numFmtId="0" fontId="188" fillId="44" borderId="89" xfId="0" applyFont="1" applyFill="1" applyBorder="1" applyAlignment="1">
      <alignment horizontal="center"/>
    </xf>
    <xf numFmtId="0" fontId="1" fillId="44" borderId="94" xfId="0" applyFont="1" applyFill="1" applyBorder="1" applyAlignment="1">
      <alignment horizontal="center"/>
    </xf>
    <xf numFmtId="0" fontId="1" fillId="44" borderId="95" xfId="0" applyFont="1" applyFill="1" applyBorder="1" applyAlignment="1">
      <alignment horizontal="center"/>
    </xf>
    <xf numFmtId="0" fontId="1" fillId="44" borderId="96" xfId="0" applyFont="1" applyFill="1" applyBorder="1" applyAlignment="1">
      <alignment horizontal="center"/>
    </xf>
    <xf numFmtId="0" fontId="61" fillId="44" borderId="42" xfId="0" applyFont="1" applyFill="1" applyBorder="1" applyAlignment="1">
      <alignment horizontal="right" vertical="center"/>
    </xf>
    <xf numFmtId="164" fontId="85" fillId="44" borderId="0" xfId="28" applyNumberFormat="1" applyFont="1" applyFill="1" applyAlignment="1">
      <alignment horizontal="center" vertical="center"/>
    </xf>
    <xf numFmtId="0" fontId="0" fillId="44" borderId="42" xfId="0" applyFill="1" applyBorder="1" applyAlignment="1">
      <alignment horizontal="center"/>
    </xf>
    <xf numFmtId="0" fontId="0" fillId="44" borderId="0" xfId="0" applyFill="1" applyAlignment="1">
      <alignment horizontal="center"/>
    </xf>
    <xf numFmtId="0" fontId="61" fillId="44" borderId="0" xfId="0" applyFont="1" applyFill="1" applyAlignment="1">
      <alignment horizontal="right" vertical="center"/>
    </xf>
    <xf numFmtId="0" fontId="0" fillId="44" borderId="97" xfId="0" applyFill="1" applyBorder="1" applyAlignment="1">
      <alignment horizontal="center"/>
    </xf>
    <xf numFmtId="0" fontId="2" fillId="44" borderId="0" xfId="0" applyFont="1" applyFill="1" applyAlignment="1">
      <alignment horizontal="center" vertical="center"/>
    </xf>
    <xf numFmtId="0" fontId="105" fillId="44" borderId="0" xfId="0" applyFont="1" applyFill="1" applyAlignment="1">
      <alignment horizontal="center"/>
    </xf>
    <xf numFmtId="0" fontId="194" fillId="44" borderId="43" xfId="0" applyFont="1" applyFill="1" applyBorder="1" applyAlignment="1">
      <alignment horizontal="center"/>
    </xf>
    <xf numFmtId="0" fontId="194" fillId="44" borderId="0" xfId="0" applyFont="1" applyFill="1" applyAlignment="1">
      <alignment horizontal="center"/>
    </xf>
    <xf numFmtId="0" fontId="31" fillId="44" borderId="0" xfId="46" applyFill="1" applyAlignment="1">
      <alignment horizontal="center" vertical="center"/>
    </xf>
    <xf numFmtId="164" fontId="82" fillId="44" borderId="0" xfId="0" applyNumberFormat="1" applyFont="1" applyFill="1" applyAlignment="1">
      <alignment horizontal="center"/>
    </xf>
    <xf numFmtId="0" fontId="153" fillId="29" borderId="81" xfId="0" applyFont="1" applyFill="1" applyBorder="1" applyAlignment="1">
      <alignment horizontal="center" vertical="center"/>
    </xf>
    <xf numFmtId="0" fontId="153" fillId="48" borderId="81" xfId="0" applyFont="1" applyFill="1" applyBorder="1" applyAlignment="1">
      <alignment horizontal="center" vertical="center"/>
    </xf>
    <xf numFmtId="0" fontId="35" fillId="44" borderId="94" xfId="0" applyFont="1" applyFill="1" applyBorder="1" applyAlignment="1">
      <alignment horizontal="center"/>
    </xf>
    <xf numFmtId="0" fontId="35" fillId="44" borderId="95" xfId="0" applyFont="1" applyFill="1" applyBorder="1" applyAlignment="1">
      <alignment horizontal="center"/>
    </xf>
    <xf numFmtId="0" fontId="35" fillId="44" borderId="96" xfId="0" applyFont="1" applyFill="1" applyBorder="1" applyAlignment="1">
      <alignment horizontal="center"/>
    </xf>
    <xf numFmtId="0" fontId="1" fillId="44" borderId="23" xfId="0" applyFont="1" applyFill="1" applyBorder="1" applyAlignment="1">
      <alignment horizontal="center"/>
    </xf>
    <xf numFmtId="0" fontId="1" fillId="44" borderId="89" xfId="0" applyFont="1" applyFill="1" applyBorder="1" applyAlignment="1">
      <alignment horizontal="center"/>
    </xf>
    <xf numFmtId="0" fontId="1" fillId="44" borderId="25" xfId="0" applyFont="1" applyFill="1" applyBorder="1" applyAlignment="1">
      <alignment horizontal="center"/>
    </xf>
    <xf numFmtId="9" fontId="37" fillId="46" borderId="0" xfId="47" applyFont="1" applyFill="1" applyBorder="1" applyAlignment="1">
      <alignment horizontal="center" vertical="center" wrapText="1"/>
    </xf>
    <xf numFmtId="9" fontId="37" fillId="46" borderId="0" xfId="47" applyFont="1" applyFill="1" applyAlignment="1">
      <alignment horizontal="center" vertical="center" wrapText="1"/>
    </xf>
    <xf numFmtId="0" fontId="1" fillId="40" borderId="0" xfId="0" applyFont="1" applyFill="1" applyAlignment="1">
      <alignment horizontal="center"/>
    </xf>
    <xf numFmtId="0" fontId="1" fillId="40" borderId="85" xfId="0" applyFont="1" applyFill="1" applyBorder="1" applyAlignment="1">
      <alignment horizontal="center"/>
    </xf>
    <xf numFmtId="0" fontId="1" fillId="46" borderId="0" xfId="0" applyFont="1" applyFill="1" applyAlignment="1">
      <alignment horizontal="center"/>
    </xf>
    <xf numFmtId="0" fontId="162" fillId="46" borderId="0" xfId="0" applyFont="1" applyFill="1" applyAlignment="1">
      <alignment horizontal="center" vertical="center"/>
    </xf>
    <xf numFmtId="0" fontId="162" fillId="46" borderId="85" xfId="0" applyFont="1" applyFill="1" applyBorder="1" applyAlignment="1">
      <alignment horizontal="center" vertical="center"/>
    </xf>
    <xf numFmtId="0" fontId="1" fillId="46" borderId="23" xfId="0" applyFont="1" applyFill="1" applyBorder="1" applyAlignment="1">
      <alignment horizontal="center"/>
    </xf>
    <xf numFmtId="0" fontId="1" fillId="46" borderId="89" xfId="0" applyFont="1" applyFill="1" applyBorder="1" applyAlignment="1">
      <alignment horizontal="center"/>
    </xf>
    <xf numFmtId="0" fontId="1" fillId="46" borderId="25" xfId="0" applyFont="1" applyFill="1" applyBorder="1" applyAlignment="1">
      <alignment horizontal="center"/>
    </xf>
    <xf numFmtId="0" fontId="162" fillId="46" borderId="23" xfId="0" applyFont="1" applyFill="1" applyBorder="1" applyAlignment="1">
      <alignment horizontal="center"/>
    </xf>
    <xf numFmtId="0" fontId="188" fillId="46" borderId="89" xfId="0" applyFont="1" applyFill="1" applyBorder="1" applyAlignment="1">
      <alignment horizontal="center"/>
    </xf>
    <xf numFmtId="0" fontId="1" fillId="46" borderId="94" xfId="0" applyFont="1" applyFill="1" applyBorder="1" applyAlignment="1">
      <alignment horizontal="center"/>
    </xf>
    <xf numFmtId="0" fontId="1" fillId="46" borderId="95" xfId="0" applyFont="1" applyFill="1" applyBorder="1" applyAlignment="1">
      <alignment horizontal="center"/>
    </xf>
    <xf numFmtId="0" fontId="1" fillId="46" borderId="96" xfId="0" applyFont="1" applyFill="1" applyBorder="1" applyAlignment="1">
      <alignment horizontal="center"/>
    </xf>
    <xf numFmtId="0" fontId="1" fillId="46" borderId="85" xfId="0" applyFont="1" applyFill="1" applyBorder="1" applyAlignment="1">
      <alignment horizontal="center"/>
    </xf>
    <xf numFmtId="0" fontId="57" fillId="46" borderId="43" xfId="0" applyFont="1" applyFill="1" applyBorder="1" applyAlignment="1">
      <alignment horizontal="center"/>
    </xf>
    <xf numFmtId="0" fontId="57" fillId="46" borderId="0" xfId="0" applyFont="1" applyFill="1" applyAlignment="1">
      <alignment horizontal="center"/>
    </xf>
    <xf numFmtId="0" fontId="31" fillId="46" borderId="0" xfId="46" applyFill="1" applyAlignment="1">
      <alignment horizontal="center" vertical="center"/>
    </xf>
    <xf numFmtId="164" fontId="82" fillId="46" borderId="0" xfId="0" applyNumberFormat="1" applyFont="1" applyFill="1" applyAlignment="1">
      <alignment horizontal="center"/>
    </xf>
    <xf numFmtId="9" fontId="37" fillId="44" borderId="0" xfId="47" applyFont="1" applyFill="1" applyBorder="1" applyAlignment="1">
      <alignment horizontal="center" vertical="center" wrapText="1"/>
    </xf>
    <xf numFmtId="9" fontId="37" fillId="44" borderId="0" xfId="47" applyFont="1" applyFill="1" applyAlignment="1">
      <alignment horizontal="center" vertical="center" wrapText="1"/>
    </xf>
    <xf numFmtId="0" fontId="57" fillId="44" borderId="43" xfId="0" applyFont="1" applyFill="1" applyBorder="1" applyAlignment="1">
      <alignment horizontal="center"/>
    </xf>
    <xf numFmtId="0" fontId="57" fillId="44" borderId="0" xfId="0" applyFont="1" applyFill="1" applyAlignment="1">
      <alignment horizontal="center"/>
    </xf>
    <xf numFmtId="0" fontId="6" fillId="0" borderId="0" xfId="0" applyFont="1" applyAlignment="1">
      <alignment horizontal="center"/>
    </xf>
    <xf numFmtId="0" fontId="4" fillId="0" borderId="0" xfId="0" applyFont="1" applyAlignment="1">
      <alignment horizontal="center"/>
    </xf>
    <xf numFmtId="0" fontId="4" fillId="0" borderId="41" xfId="0" applyFont="1" applyBorder="1" applyAlignment="1">
      <alignment horizontal="center"/>
    </xf>
    <xf numFmtId="0" fontId="32" fillId="0" borderId="41" xfId="0" applyFont="1" applyBorder="1" applyAlignment="1">
      <alignment horizontal="center"/>
    </xf>
    <xf numFmtId="9" fontId="37" fillId="40" borderId="0" xfId="47" applyFont="1" applyFill="1" applyAlignment="1">
      <alignment horizontal="center" vertical="center" wrapText="1"/>
    </xf>
    <xf numFmtId="0" fontId="4" fillId="0" borderId="0" xfId="0" applyFont="1" applyAlignment="1">
      <alignment horizontal="right" vertical="center"/>
    </xf>
    <xf numFmtId="49" fontId="76" fillId="28" borderId="0" xfId="0" applyNumberFormat="1" applyFont="1" applyFill="1" applyAlignment="1">
      <alignment horizontal="center" vertical="center"/>
    </xf>
    <xf numFmtId="49" fontId="164" fillId="0" borderId="0" xfId="0" applyNumberFormat="1" applyFont="1" applyAlignment="1">
      <alignment horizontal="center"/>
    </xf>
    <xf numFmtId="3" fontId="76" fillId="0" borderId="0" xfId="0" applyNumberFormat="1" applyFont="1" applyAlignment="1">
      <alignment horizontal="right"/>
    </xf>
    <xf numFmtId="0" fontId="27" fillId="29" borderId="0" xfId="0" applyFont="1" applyFill="1" applyAlignment="1">
      <alignment horizontal="right" vertical="center"/>
    </xf>
    <xf numFmtId="0" fontId="27" fillId="28" borderId="0" xfId="0" applyFont="1" applyFill="1" applyAlignment="1">
      <alignment horizontal="right"/>
    </xf>
    <xf numFmtId="49" fontId="76" fillId="29" borderId="0" xfId="0" applyNumberFormat="1" applyFont="1" applyFill="1" applyAlignment="1">
      <alignment horizontal="center" vertical="center"/>
    </xf>
    <xf numFmtId="0" fontId="57" fillId="0" borderId="43" xfId="0" applyFont="1" applyBorder="1" applyAlignment="1">
      <alignment horizontal="center"/>
    </xf>
    <xf numFmtId="0" fontId="164" fillId="0" borderId="0" xfId="0" applyFont="1" applyAlignment="1">
      <alignment horizontal="right"/>
    </xf>
    <xf numFmtId="49" fontId="76" fillId="0" borderId="0" xfId="0" applyNumberFormat="1" applyFont="1" applyAlignment="1">
      <alignment horizontal="center" vertical="center"/>
    </xf>
    <xf numFmtId="0" fontId="2" fillId="0" borderId="0" xfId="0" applyFont="1"/>
    <xf numFmtId="0" fontId="164" fillId="0" borderId="0" xfId="0" applyFont="1" applyAlignment="1">
      <alignment horizontal="center"/>
    </xf>
    <xf numFmtId="0" fontId="121" fillId="27" borderId="0" xfId="0" applyFont="1" applyFill="1" applyAlignment="1">
      <alignment horizontal="center" vertical="center"/>
    </xf>
    <xf numFmtId="0" fontId="161" fillId="27" borderId="0" xfId="0" applyFont="1" applyFill="1" applyAlignment="1">
      <alignment horizontal="center" vertical="center"/>
    </xf>
    <xf numFmtId="0" fontId="121" fillId="55" borderId="0" xfId="0" applyFont="1" applyFill="1" applyAlignment="1">
      <alignment horizontal="center" vertical="center"/>
    </xf>
    <xf numFmtId="0" fontId="105" fillId="55" borderId="0" xfId="0" applyFont="1" applyFill="1" applyAlignment="1">
      <alignment horizontal="center" vertical="center"/>
    </xf>
    <xf numFmtId="0" fontId="161" fillId="55" borderId="0" xfId="0" applyFont="1" applyFill="1" applyAlignment="1">
      <alignment horizontal="center" vertical="center"/>
    </xf>
    <xf numFmtId="0" fontId="161" fillId="55" borderId="43" xfId="0" applyFont="1" applyFill="1" applyBorder="1" applyAlignment="1">
      <alignment horizontal="center"/>
    </xf>
    <xf numFmtId="0" fontId="121" fillId="55" borderId="0" xfId="0" applyFont="1" applyFill="1" applyAlignment="1">
      <alignment horizontal="center"/>
    </xf>
    <xf numFmtId="0" fontId="56" fillId="0" borderId="65" xfId="0" applyFont="1" applyBorder="1" applyAlignment="1">
      <alignment horizontal="right" vertical="center"/>
    </xf>
    <xf numFmtId="0" fontId="56" fillId="0" borderId="42" xfId="0" applyFont="1" applyBorder="1" applyAlignment="1">
      <alignment horizontal="right" vertical="center"/>
    </xf>
    <xf numFmtId="0" fontId="27" fillId="32" borderId="0" xfId="0" applyFont="1" applyFill="1" applyAlignment="1">
      <alignment horizontal="center"/>
    </xf>
    <xf numFmtId="0" fontId="85" fillId="0" borderId="65" xfId="0" applyFont="1" applyBorder="1" applyAlignment="1">
      <alignment horizontal="center" vertical="center"/>
    </xf>
    <xf numFmtId="0" fontId="85" fillId="0" borderId="42" xfId="0" applyFont="1" applyBorder="1" applyAlignment="1">
      <alignment horizontal="center" vertical="center"/>
    </xf>
    <xf numFmtId="0" fontId="93" fillId="55" borderId="0" xfId="0" applyFont="1" applyFill="1" applyAlignment="1">
      <alignment horizontal="center" vertical="center"/>
    </xf>
    <xf numFmtId="0" fontId="27" fillId="0" borderId="0" xfId="0" applyFont="1" applyAlignment="1">
      <alignment horizontal="center"/>
    </xf>
    <xf numFmtId="0" fontId="114" fillId="37" borderId="0" xfId="0" applyFont="1" applyFill="1" applyAlignment="1">
      <alignment horizontal="center" vertical="center"/>
    </xf>
    <xf numFmtId="0" fontId="93" fillId="37" borderId="0" xfId="0" applyFont="1" applyFill="1" applyAlignment="1">
      <alignment horizontal="center" vertical="center"/>
    </xf>
    <xf numFmtId="0" fontId="1" fillId="0" borderId="0" xfId="0" applyFont="1" applyAlignment="1">
      <alignment horizontal="left"/>
    </xf>
    <xf numFmtId="0" fontId="43" fillId="0" borderId="0" xfId="0" applyFont="1" applyAlignment="1">
      <alignment horizontal="center"/>
    </xf>
    <xf numFmtId="0" fontId="0" fillId="0" borderId="0" xfId="0" applyAlignment="1">
      <alignment horizontal="left"/>
    </xf>
    <xf numFmtId="9" fontId="1" fillId="0" borderId="0" xfId="0" applyNumberFormat="1" applyFont="1" applyAlignment="1">
      <alignment horizontal="left"/>
    </xf>
    <xf numFmtId="0" fontId="86" fillId="40" borderId="0" xfId="0" applyFont="1" applyFill="1" applyAlignment="1">
      <alignment horizontal="center"/>
    </xf>
    <xf numFmtId="10" fontId="27" fillId="0" borderId="0" xfId="0" applyNumberFormat="1" applyFont="1" applyAlignment="1">
      <alignment horizontal="left" vertical="center"/>
    </xf>
    <xf numFmtId="0" fontId="62" fillId="0" borderId="0" xfId="0" applyFont="1" applyAlignment="1">
      <alignment horizontal="center" vertical="center"/>
    </xf>
    <xf numFmtId="0" fontId="138" fillId="43" borderId="0" xfId="52" applyFont="1" applyFill="1" applyAlignment="1">
      <alignment horizontal="center" vertical="center"/>
    </xf>
    <xf numFmtId="0" fontId="113" fillId="43" borderId="0" xfId="52" applyFont="1" applyFill="1"/>
    <xf numFmtId="0" fontId="116" fillId="43" borderId="0" xfId="46" applyFont="1" applyFill="1" applyAlignment="1">
      <alignment horizontal="center"/>
    </xf>
    <xf numFmtId="0" fontId="81" fillId="43" borderId="43" xfId="0" applyFont="1" applyFill="1" applyBorder="1" applyAlignment="1">
      <alignment horizontal="right"/>
    </xf>
    <xf numFmtId="0" fontId="81" fillId="43" borderId="0" xfId="0" applyFont="1" applyFill="1" applyAlignment="1">
      <alignment horizontal="right"/>
    </xf>
    <xf numFmtId="0" fontId="140" fillId="0" borderId="0" xfId="0" applyFont="1" applyAlignment="1">
      <alignment horizontal="center" vertical="center"/>
    </xf>
    <xf numFmtId="0" fontId="141" fillId="0" borderId="0" xfId="0" applyFont="1" applyAlignment="1">
      <alignment horizontal="center" vertical="center"/>
    </xf>
    <xf numFmtId="0" fontId="139" fillId="36" borderId="0" xfId="0" applyFont="1" applyFill="1" applyAlignment="1">
      <alignment horizontal="center" vertical="center"/>
    </xf>
    <xf numFmtId="0" fontId="74" fillId="0" borderId="0" xfId="0" applyFont="1" applyAlignment="1">
      <alignment horizontal="center"/>
    </xf>
    <xf numFmtId="0" fontId="72" fillId="0" borderId="0" xfId="0" applyFont="1" applyAlignment="1">
      <alignment horizontal="center"/>
    </xf>
    <xf numFmtId="0" fontId="137" fillId="0" borderId="0" xfId="0" applyFont="1" applyAlignment="1">
      <alignment horizontal="left" vertical="center"/>
    </xf>
    <xf numFmtId="0" fontId="68" fillId="0" borderId="0" xfId="0" applyFont="1" applyAlignment="1">
      <alignment horizontal="center"/>
    </xf>
    <xf numFmtId="0" fontId="85" fillId="0" borderId="0" xfId="0" applyFont="1" applyAlignment="1">
      <alignment horizontal="center" vertical="center"/>
    </xf>
    <xf numFmtId="0" fontId="4" fillId="43" borderId="0" xfId="0" applyFont="1" applyFill="1" applyAlignment="1">
      <alignment horizontal="center"/>
    </xf>
    <xf numFmtId="0" fontId="4" fillId="43" borderId="41" xfId="0" applyFont="1" applyFill="1" applyBorder="1" applyAlignment="1">
      <alignment horizontal="center"/>
    </xf>
    <xf numFmtId="0" fontId="32" fillId="43" borderId="41" xfId="0" applyFont="1" applyFill="1" applyBorder="1" applyAlignment="1">
      <alignment horizontal="center"/>
    </xf>
    <xf numFmtId="0" fontId="32" fillId="43" borderId="56" xfId="0" applyFont="1" applyFill="1" applyBorder="1" applyAlignment="1">
      <alignment horizontal="center"/>
    </xf>
    <xf numFmtId="0" fontId="1" fillId="0" borderId="0" xfId="0" applyFont="1" applyAlignment="1">
      <alignment horizontal="right"/>
    </xf>
    <xf numFmtId="0" fontId="5" fillId="43" borderId="0" xfId="0" applyFont="1" applyFill="1" applyAlignment="1">
      <alignment horizontal="center"/>
    </xf>
    <xf numFmtId="0" fontId="103" fillId="0" borderId="0" xfId="0" applyFont="1" applyAlignment="1">
      <alignment horizontal="center" vertical="center"/>
    </xf>
    <xf numFmtId="0" fontId="1" fillId="0" borderId="0" xfId="0" applyFont="1"/>
    <xf numFmtId="0" fontId="176" fillId="32" borderId="36" xfId="0" applyFont="1" applyFill="1" applyBorder="1" applyAlignment="1">
      <alignment horizontal="right"/>
    </xf>
    <xf numFmtId="164" fontId="177" fillId="56" borderId="80" xfId="46" applyNumberFormat="1" applyFont="1" applyFill="1" applyBorder="1" applyAlignment="1">
      <alignment horizontal="center" vertical="center"/>
    </xf>
    <xf numFmtId="164" fontId="111" fillId="56" borderId="81" xfId="0" applyNumberFormat="1" applyFont="1" applyFill="1" applyBorder="1" applyAlignment="1">
      <alignment horizontal="center" vertical="center"/>
    </xf>
    <xf numFmtId="164" fontId="111" fillId="56" borderId="82" xfId="0" applyNumberFormat="1" applyFont="1" applyFill="1" applyBorder="1" applyAlignment="1">
      <alignment horizontal="center" vertical="center"/>
    </xf>
    <xf numFmtId="0" fontId="1" fillId="48" borderId="36" xfId="0" applyFont="1" applyFill="1" applyBorder="1" applyAlignment="1">
      <alignment horizontal="center" vertical="center"/>
    </xf>
    <xf numFmtId="0" fontId="1" fillId="48" borderId="0" xfId="0" applyFont="1" applyFill="1" applyAlignment="1">
      <alignment horizontal="center" vertical="center"/>
    </xf>
    <xf numFmtId="0" fontId="2" fillId="32" borderId="36" xfId="0" applyFont="1" applyFill="1" applyBorder="1" applyAlignment="1">
      <alignment horizontal="right" vertical="center"/>
    </xf>
    <xf numFmtId="0" fontId="1" fillId="48" borderId="74" xfId="0" applyFont="1" applyFill="1" applyBorder="1" applyAlignment="1">
      <alignment horizontal="center" vertical="center"/>
    </xf>
    <xf numFmtId="0" fontId="1" fillId="48" borderId="53" xfId="0" applyFont="1" applyFill="1" applyBorder="1" applyAlignment="1">
      <alignment horizontal="center" vertical="center"/>
    </xf>
    <xf numFmtId="0" fontId="0" fillId="32" borderId="36" xfId="0" applyFill="1" applyBorder="1" applyAlignment="1">
      <alignment horizontal="center"/>
    </xf>
    <xf numFmtId="0" fontId="0" fillId="32" borderId="0" xfId="0" applyFill="1" applyAlignment="1">
      <alignment horizontal="center"/>
    </xf>
    <xf numFmtId="0" fontId="1" fillId="41" borderId="36" xfId="0" applyFont="1" applyFill="1" applyBorder="1" applyAlignment="1">
      <alignment horizontal="center" vertical="center"/>
    </xf>
    <xf numFmtId="0" fontId="1" fillId="41" borderId="0" xfId="0" applyFont="1" applyFill="1" applyAlignment="1">
      <alignment horizontal="center" vertical="center"/>
    </xf>
    <xf numFmtId="0" fontId="4" fillId="48" borderId="79" xfId="0" applyFont="1" applyFill="1" applyBorder="1" applyAlignment="1">
      <alignment horizontal="center" vertical="center"/>
    </xf>
    <xf numFmtId="0" fontId="4" fillId="48" borderId="12" xfId="0" applyFont="1" applyFill="1" applyBorder="1" applyAlignment="1">
      <alignment horizontal="center" vertical="center"/>
    </xf>
    <xf numFmtId="0" fontId="4" fillId="48" borderId="10" xfId="0" applyFont="1" applyFill="1" applyBorder="1" applyAlignment="1">
      <alignment horizontal="center" vertical="center"/>
    </xf>
    <xf numFmtId="0" fontId="1" fillId="48" borderId="11" xfId="0" applyFont="1" applyFill="1" applyBorder="1" applyAlignment="1">
      <alignment horizontal="center" vertical="center"/>
    </xf>
    <xf numFmtId="0" fontId="1" fillId="48" borderId="12" xfId="0" applyFont="1" applyFill="1" applyBorder="1" applyAlignment="1">
      <alignment horizontal="center" vertical="center"/>
    </xf>
    <xf numFmtId="0" fontId="4" fillId="41" borderId="10" xfId="0" applyFont="1" applyFill="1" applyBorder="1" applyAlignment="1">
      <alignment horizontal="center" vertical="center"/>
    </xf>
    <xf numFmtId="0" fontId="1" fillId="41" borderId="11" xfId="0" applyFont="1" applyFill="1" applyBorder="1" applyAlignment="1">
      <alignment horizontal="center" vertical="center"/>
    </xf>
    <xf numFmtId="0" fontId="1" fillId="41" borderId="12" xfId="0" applyFont="1" applyFill="1" applyBorder="1" applyAlignment="1">
      <alignment horizontal="center" vertical="center"/>
    </xf>
    <xf numFmtId="0" fontId="0" fillId="56" borderId="52" xfId="0" applyFill="1" applyBorder="1" applyAlignment="1">
      <alignment horizontal="center"/>
    </xf>
    <xf numFmtId="0" fontId="92" fillId="40" borderId="67" xfId="0" applyFont="1" applyFill="1" applyBorder="1" applyAlignment="1">
      <alignment horizontal="right"/>
    </xf>
    <xf numFmtId="0" fontId="92" fillId="40" borderId="68" xfId="0" applyFont="1" applyFill="1" applyBorder="1" applyAlignment="1">
      <alignment horizontal="right"/>
    </xf>
    <xf numFmtId="0" fontId="84" fillId="57" borderId="69" xfId="0" applyFont="1" applyFill="1" applyBorder="1" applyAlignment="1">
      <alignment horizontal="left" vertical="center"/>
    </xf>
    <xf numFmtId="0" fontId="84" fillId="57" borderId="70" xfId="0" applyFont="1" applyFill="1" applyBorder="1" applyAlignment="1">
      <alignment horizontal="left" vertical="center"/>
    </xf>
    <xf numFmtId="0" fontId="33" fillId="40" borderId="36" xfId="0" applyFont="1" applyFill="1" applyBorder="1" applyAlignment="1">
      <alignment horizontal="center"/>
    </xf>
    <xf numFmtId="0" fontId="66" fillId="40" borderId="36" xfId="0" applyFont="1" applyFill="1" applyBorder="1" applyAlignment="1">
      <alignment horizontal="center" vertical="center"/>
    </xf>
    <xf numFmtId="0" fontId="66" fillId="40" borderId="0" xfId="0" applyFont="1" applyFill="1" applyAlignment="1">
      <alignment horizontal="center" vertical="center"/>
    </xf>
    <xf numFmtId="0" fontId="66" fillId="40" borderId="33" xfId="0" applyFont="1" applyFill="1" applyBorder="1" applyAlignment="1">
      <alignment horizontal="center" vertical="center"/>
    </xf>
    <xf numFmtId="0" fontId="169" fillId="32" borderId="36" xfId="0" applyFont="1" applyFill="1" applyBorder="1" applyAlignment="1">
      <alignment horizontal="center" vertical="center"/>
    </xf>
    <xf numFmtId="0" fontId="170" fillId="32" borderId="0" xfId="0" applyFont="1" applyFill="1" applyAlignment="1">
      <alignment horizontal="center" vertical="center"/>
    </xf>
    <xf numFmtId="0" fontId="170" fillId="32" borderId="33" xfId="0" applyFont="1" applyFill="1" applyBorder="1" applyAlignment="1">
      <alignment horizontal="center" vertical="center"/>
    </xf>
    <xf numFmtId="0" fontId="122" fillId="40" borderId="36" xfId="0" applyFont="1" applyFill="1" applyBorder="1" applyAlignment="1">
      <alignment horizontal="center" vertical="center"/>
    </xf>
    <xf numFmtId="0" fontId="122" fillId="40" borderId="0" xfId="0" applyFont="1" applyFill="1" applyAlignment="1">
      <alignment horizontal="center" vertical="center"/>
    </xf>
    <xf numFmtId="0" fontId="122" fillId="40" borderId="33" xfId="0" applyFont="1" applyFill="1" applyBorder="1" applyAlignment="1">
      <alignment horizontal="center" vertical="center"/>
    </xf>
    <xf numFmtId="0" fontId="33" fillId="40" borderId="74" xfId="0" applyFont="1" applyFill="1" applyBorder="1" applyAlignment="1">
      <alignment horizontal="center" vertical="center"/>
    </xf>
    <xf numFmtId="0" fontId="33" fillId="40" borderId="42" xfId="0" applyFont="1" applyFill="1" applyBorder="1" applyAlignment="1">
      <alignment horizontal="center" vertical="center"/>
    </xf>
    <xf numFmtId="0" fontId="33" fillId="40" borderId="53" xfId="0" applyFont="1" applyFill="1" applyBorder="1" applyAlignment="1">
      <alignment horizontal="center" vertical="center"/>
    </xf>
    <xf numFmtId="0" fontId="68" fillId="41" borderId="11" xfId="0" applyFont="1" applyFill="1" applyBorder="1" applyAlignment="1">
      <alignment horizontal="right" vertical="center"/>
    </xf>
    <xf numFmtId="0" fontId="68" fillId="41" borderId="12" xfId="0" applyFont="1" applyFill="1" applyBorder="1" applyAlignment="1">
      <alignment horizontal="right" vertical="center"/>
    </xf>
    <xf numFmtId="0" fontId="68" fillId="48" borderId="42" xfId="0" applyFont="1" applyFill="1" applyBorder="1" applyAlignment="1">
      <alignment horizontal="right" vertical="center"/>
    </xf>
    <xf numFmtId="0" fontId="68" fillId="48" borderId="53" xfId="0" applyFont="1" applyFill="1" applyBorder="1" applyAlignment="1">
      <alignment horizontal="right" vertical="center"/>
    </xf>
    <xf numFmtId="0" fontId="46" fillId="32" borderId="42" xfId="0" applyFont="1" applyFill="1" applyBorder="1" applyAlignment="1">
      <alignment horizontal="center" vertical="center"/>
    </xf>
    <xf numFmtId="0" fontId="4" fillId="41" borderId="47" xfId="0" applyFont="1" applyFill="1" applyBorder="1" applyAlignment="1">
      <alignment horizontal="center" vertical="center"/>
    </xf>
    <xf numFmtId="0" fontId="103" fillId="28" borderId="0" xfId="0" applyFont="1" applyFill="1" applyAlignment="1">
      <alignment horizontal="center" vertical="center"/>
    </xf>
    <xf numFmtId="0" fontId="1" fillId="28" borderId="0" xfId="0" applyFont="1" applyFill="1"/>
    <xf numFmtId="0" fontId="103" fillId="29" borderId="0" xfId="0" applyFont="1" applyFill="1" applyAlignment="1">
      <alignment horizontal="center" vertical="center"/>
    </xf>
    <xf numFmtId="0" fontId="1" fillId="29" borderId="0" xfId="0" applyFont="1" applyFill="1"/>
    <xf numFmtId="0" fontId="4" fillId="44" borderId="0" xfId="0" applyFont="1" applyFill="1" applyAlignment="1">
      <alignment horizontal="center"/>
    </xf>
    <xf numFmtId="0" fontId="4" fillId="44" borderId="41" xfId="0" applyFont="1" applyFill="1" applyBorder="1" applyAlignment="1">
      <alignment horizontal="center"/>
    </xf>
    <xf numFmtId="0" fontId="32" fillId="44" borderId="41" xfId="0" applyFont="1" applyFill="1" applyBorder="1" applyAlignment="1">
      <alignment horizontal="center"/>
    </xf>
    <xf numFmtId="0" fontId="32" fillId="44" borderId="56" xfId="0" applyFont="1" applyFill="1" applyBorder="1" applyAlignment="1">
      <alignment horizontal="center"/>
    </xf>
    <xf numFmtId="0" fontId="5" fillId="44" borderId="0" xfId="0" applyFont="1" applyFill="1" applyAlignment="1">
      <alignment horizontal="center"/>
    </xf>
    <xf numFmtId="0" fontId="32" fillId="0" borderId="56" xfId="0" applyFont="1" applyBorder="1" applyAlignment="1">
      <alignment horizontal="center"/>
    </xf>
    <xf numFmtId="0" fontId="5" fillId="0" borderId="0" xfId="0" applyFont="1" applyAlignment="1">
      <alignment horizontal="center"/>
    </xf>
    <xf numFmtId="0" fontId="146" fillId="0" borderId="0" xfId="0" applyFont="1" applyAlignment="1">
      <alignment horizontal="center" vertical="center"/>
    </xf>
    <xf numFmtId="0" fontId="147" fillId="0" borderId="0" xfId="0" applyFont="1" applyAlignment="1">
      <alignment horizontal="center" vertical="center"/>
    </xf>
    <xf numFmtId="0" fontId="149" fillId="0" borderId="0" xfId="0" applyFont="1" applyAlignment="1">
      <alignment horizontal="center" vertical="center"/>
    </xf>
    <xf numFmtId="0" fontId="120" fillId="0" borderId="0" xfId="0" applyFont="1" applyAlignment="1">
      <alignment horizontal="center" vertical="center"/>
    </xf>
    <xf numFmtId="0" fontId="52" fillId="0" borderId="0" xfId="0" applyFont="1" applyAlignment="1">
      <alignment horizontal="center"/>
    </xf>
    <xf numFmtId="0" fontId="138" fillId="44" borderId="0" xfId="52" applyFont="1" applyFill="1" applyAlignment="1">
      <alignment horizontal="center" vertical="center"/>
    </xf>
    <xf numFmtId="0" fontId="138" fillId="44" borderId="0" xfId="52" applyFont="1" applyFill="1"/>
    <xf numFmtId="0" fontId="116" fillId="44" borderId="0" xfId="46" applyFont="1" applyFill="1" applyAlignment="1">
      <alignment horizontal="center"/>
    </xf>
    <xf numFmtId="0" fontId="81" fillId="44" borderId="43" xfId="0" applyFont="1" applyFill="1" applyBorder="1" applyAlignment="1">
      <alignment horizontal="right"/>
    </xf>
    <xf numFmtId="0" fontId="81" fillId="44" borderId="0" xfId="0" applyFont="1" applyFill="1" applyAlignment="1">
      <alignment horizontal="right"/>
    </xf>
    <xf numFmtId="0" fontId="113" fillId="44" borderId="0" xfId="52" applyFont="1" applyFill="1" applyAlignment="1">
      <alignment horizontal="center" vertical="center"/>
    </xf>
    <xf numFmtId="0" fontId="113" fillId="44" borderId="0" xfId="52" applyFont="1" applyFill="1"/>
    <xf numFmtId="0" fontId="69" fillId="32" borderId="0" xfId="0" applyFont="1" applyFill="1" applyAlignment="1">
      <alignment horizontal="center"/>
    </xf>
    <xf numFmtId="0" fontId="120" fillId="32" borderId="0" xfId="0" applyFont="1" applyFill="1" applyAlignment="1">
      <alignment horizontal="center" vertical="center"/>
    </xf>
    <xf numFmtId="0" fontId="74" fillId="32" borderId="0" xfId="0" applyFont="1" applyFill="1" applyAlignment="1">
      <alignment horizontal="center"/>
    </xf>
    <xf numFmtId="0" fontId="92" fillId="27" borderId="0" xfId="0" applyFont="1" applyFill="1" applyAlignment="1">
      <alignment horizontal="center" vertical="center"/>
    </xf>
    <xf numFmtId="0" fontId="120" fillId="44" borderId="0" xfId="0" applyFont="1" applyFill="1" applyAlignment="1">
      <alignment horizontal="center" vertical="center"/>
    </xf>
    <xf numFmtId="0" fontId="31" fillId="32" borderId="0" xfId="46" applyFill="1" applyAlignment="1">
      <alignment horizontal="center" vertical="center"/>
    </xf>
    <xf numFmtId="0" fontId="81" fillId="32" borderId="43" xfId="0" applyFont="1" applyFill="1" applyBorder="1" applyAlignment="1">
      <alignment horizontal="right"/>
    </xf>
    <xf numFmtId="0" fontId="81" fillId="32" borderId="0" xfId="0" applyFont="1" applyFill="1" applyAlignment="1">
      <alignment horizontal="right"/>
    </xf>
    <xf numFmtId="0" fontId="64" fillId="32" borderId="0" xfId="0" applyFont="1" applyFill="1" applyAlignment="1">
      <alignment horizontal="center" vertical="center"/>
    </xf>
    <xf numFmtId="0" fontId="65" fillId="32" borderId="0" xfId="0" applyFont="1" applyFill="1" applyAlignment="1">
      <alignment horizontal="center" vertical="center"/>
    </xf>
    <xf numFmtId="0" fontId="70" fillId="32" borderId="0" xfId="0" applyFont="1" applyFill="1" applyAlignment="1">
      <alignment horizontal="center" vertical="center"/>
    </xf>
    <xf numFmtId="0" fontId="67" fillId="32" borderId="0" xfId="0" applyFont="1" applyFill="1" applyAlignment="1">
      <alignment horizontal="center" vertical="center"/>
    </xf>
    <xf numFmtId="0" fontId="1" fillId="43" borderId="0" xfId="0" applyFont="1" applyFill="1" applyAlignment="1">
      <alignment horizontal="right"/>
    </xf>
    <xf numFmtId="49" fontId="76" fillId="43" borderId="0" xfId="0" applyNumberFormat="1" applyFont="1" applyFill="1" applyAlignment="1">
      <alignment horizontal="center"/>
    </xf>
    <xf numFmtId="0" fontId="76" fillId="43" borderId="0" xfId="0" applyFont="1" applyFill="1" applyAlignment="1">
      <alignment horizontal="center"/>
    </xf>
    <xf numFmtId="3" fontId="76" fillId="43" borderId="0" xfId="0" applyNumberFormat="1" applyFont="1" applyFill="1" applyAlignment="1">
      <alignment horizontal="right"/>
    </xf>
    <xf numFmtId="0" fontId="118" fillId="43" borderId="0" xfId="0" applyFont="1" applyFill="1" applyAlignment="1">
      <alignment horizontal="center"/>
    </xf>
    <xf numFmtId="0" fontId="32" fillId="43" borderId="0" xfId="0" applyFont="1" applyFill="1" applyAlignment="1">
      <alignment horizontal="center"/>
    </xf>
    <xf numFmtId="0" fontId="122" fillId="30" borderId="0" xfId="0" applyFont="1" applyFill="1" applyAlignment="1">
      <alignment horizontal="center" vertical="center"/>
    </xf>
    <xf numFmtId="0" fontId="123" fillId="30" borderId="0" xfId="0" applyFont="1" applyFill="1" applyAlignment="1">
      <alignment horizontal="right"/>
    </xf>
    <xf numFmtId="0" fontId="124" fillId="30" borderId="0" xfId="0" applyFont="1" applyFill="1" applyAlignment="1">
      <alignment horizontal="right"/>
    </xf>
    <xf numFmtId="0" fontId="124" fillId="30" borderId="36" xfId="0" applyFont="1" applyFill="1" applyBorder="1" applyAlignment="1">
      <alignment horizontal="right"/>
    </xf>
    <xf numFmtId="0" fontId="125" fillId="30" borderId="0" xfId="0" applyFont="1" applyFill="1" applyAlignment="1">
      <alignment horizontal="right" vertical="center"/>
    </xf>
    <xf numFmtId="0" fontId="124" fillId="30" borderId="0" xfId="0" applyFont="1" applyFill="1" applyAlignment="1">
      <alignment horizontal="right" vertical="center"/>
    </xf>
    <xf numFmtId="0" fontId="117" fillId="30" borderId="0" xfId="0" applyFont="1" applyFill="1" applyAlignment="1">
      <alignment horizontal="right" vertical="center"/>
    </xf>
    <xf numFmtId="0" fontId="33" fillId="30" borderId="0" xfId="0" applyFont="1" applyFill="1" applyAlignment="1">
      <alignment horizontal="right" vertical="center"/>
    </xf>
    <xf numFmtId="0" fontId="106" fillId="27" borderId="0" xfId="0" applyFont="1" applyFill="1" applyAlignment="1">
      <alignment horizontal="right"/>
    </xf>
    <xf numFmtId="0" fontId="117" fillId="30" borderId="0" xfId="0" applyFont="1" applyFill="1" applyAlignment="1">
      <alignment horizontal="center" vertical="center"/>
    </xf>
    <xf numFmtId="0" fontId="106" fillId="30" borderId="0" xfId="0" applyFont="1" applyFill="1" applyAlignment="1">
      <alignment horizontal="center" vertical="center"/>
    </xf>
    <xf numFmtId="0" fontId="128" fillId="30" borderId="0" xfId="0" applyFont="1" applyFill="1" applyAlignment="1">
      <alignment horizontal="center" vertical="center"/>
    </xf>
    <xf numFmtId="0" fontId="31" fillId="30" borderId="0" xfId="46" applyFill="1" applyAlignment="1">
      <alignment horizontal="center" vertical="center"/>
    </xf>
    <xf numFmtId="0" fontId="133" fillId="30" borderId="0" xfId="0" applyFont="1" applyFill="1" applyAlignment="1">
      <alignment horizontal="center" vertical="center"/>
    </xf>
    <xf numFmtId="0" fontId="0" fillId="30" borderId="0" xfId="0" applyFill="1" applyAlignment="1">
      <alignment horizontal="center" vertical="center"/>
    </xf>
    <xf numFmtId="0" fontId="4" fillId="47" borderId="0" xfId="0" applyFont="1" applyFill="1" applyAlignment="1">
      <alignment horizontal="center"/>
    </xf>
    <xf numFmtId="0" fontId="32" fillId="47" borderId="41" xfId="0" applyFont="1" applyFill="1" applyBorder="1" applyAlignment="1">
      <alignment horizontal="center"/>
    </xf>
    <xf numFmtId="0" fontId="1" fillId="47" borderId="0" xfId="0" applyFont="1" applyFill="1" applyAlignment="1">
      <alignment horizontal="right"/>
    </xf>
    <xf numFmtId="49" fontId="76" fillId="47" borderId="0" xfId="0" applyNumberFormat="1" applyFont="1" applyFill="1" applyAlignment="1">
      <alignment horizontal="center"/>
    </xf>
    <xf numFmtId="0" fontId="76" fillId="47" borderId="0" xfId="0" applyFont="1" applyFill="1" applyAlignment="1">
      <alignment horizontal="center"/>
    </xf>
    <xf numFmtId="3" fontId="76" fillId="47" borderId="0" xfId="0" applyNumberFormat="1" applyFont="1" applyFill="1" applyAlignment="1">
      <alignment horizontal="right"/>
    </xf>
    <xf numFmtId="0" fontId="73" fillId="47" borderId="0" xfId="0" applyFont="1" applyFill="1" applyAlignment="1">
      <alignment horizontal="center"/>
    </xf>
    <xf numFmtId="0" fontId="27" fillId="43" borderId="0" xfId="0" applyFont="1" applyFill="1" applyAlignment="1">
      <alignment horizontal="center"/>
    </xf>
    <xf numFmtId="0" fontId="117" fillId="43" borderId="0" xfId="0" applyFont="1" applyFill="1" applyAlignment="1">
      <alignment horizontal="center"/>
    </xf>
    <xf numFmtId="0" fontId="2" fillId="47" borderId="0" xfId="0" applyFont="1" applyFill="1" applyAlignment="1">
      <alignment horizontal="left" vertical="center"/>
    </xf>
    <xf numFmtId="165" fontId="111" fillId="47" borderId="0" xfId="0" applyNumberFormat="1" applyFont="1" applyFill="1" applyAlignment="1">
      <alignment horizontal="center" vertical="center"/>
    </xf>
    <xf numFmtId="14" fontId="27" fillId="0" borderId="42" xfId="0" applyNumberFormat="1" applyFont="1" applyBorder="1" applyAlignment="1">
      <alignment horizontal="center" vertical="center"/>
    </xf>
    <xf numFmtId="49" fontId="2" fillId="0" borderId="0" xfId="0" applyNumberFormat="1" applyFont="1" applyAlignment="1">
      <alignment horizontal="center" vertical="center"/>
    </xf>
    <xf numFmtId="49" fontId="4" fillId="0" borderId="0" xfId="0" applyNumberFormat="1" applyFont="1" applyAlignment="1">
      <alignment horizontal="center" vertical="center"/>
    </xf>
    <xf numFmtId="0" fontId="75" fillId="0" borderId="0" xfId="0" applyFont="1" applyAlignment="1">
      <alignment horizontal="center" vertical="center"/>
    </xf>
    <xf numFmtId="49" fontId="75" fillId="0" borderId="0" xfId="0" applyNumberFormat="1" applyFont="1" applyAlignment="1">
      <alignment horizontal="center" vertical="center"/>
    </xf>
    <xf numFmtId="0" fontId="2" fillId="43" borderId="0" xfId="0" applyFont="1" applyFill="1" applyAlignment="1">
      <alignment horizontal="left" vertical="center"/>
    </xf>
    <xf numFmtId="165" fontId="5" fillId="43" borderId="0" xfId="0" applyNumberFormat="1" applyFont="1" applyFill="1" applyAlignment="1">
      <alignment horizontal="center" vertical="center"/>
    </xf>
    <xf numFmtId="0" fontId="2" fillId="44" borderId="0" xfId="0" applyFont="1" applyFill="1" applyAlignment="1">
      <alignment horizontal="left" vertical="center"/>
    </xf>
    <xf numFmtId="165" fontId="5" fillId="46" borderId="0" xfId="0" applyNumberFormat="1" applyFont="1" applyFill="1" applyAlignment="1">
      <alignment horizontal="center" vertical="center"/>
    </xf>
    <xf numFmtId="0" fontId="1" fillId="44" borderId="0" xfId="0" applyFont="1" applyFill="1" applyAlignment="1">
      <alignment horizontal="right"/>
    </xf>
    <xf numFmtId="49" fontId="76" fillId="44" borderId="0" xfId="0" applyNumberFormat="1" applyFont="1" applyFill="1" applyAlignment="1">
      <alignment horizontal="center"/>
    </xf>
    <xf numFmtId="0" fontId="76" fillId="44" borderId="0" xfId="0" applyFont="1" applyFill="1" applyAlignment="1">
      <alignment horizontal="center"/>
    </xf>
    <xf numFmtId="3" fontId="76" fillId="44" borderId="0" xfId="0" applyNumberFormat="1" applyFont="1" applyFill="1" applyAlignment="1">
      <alignment horizontal="right"/>
    </xf>
    <xf numFmtId="0" fontId="103" fillId="44" borderId="0" xfId="0" applyFont="1" applyFill="1" applyAlignment="1">
      <alignment horizontal="center" vertical="center"/>
    </xf>
    <xf numFmtId="0" fontId="1" fillId="44" borderId="0" xfId="0" applyFont="1" applyFill="1"/>
    <xf numFmtId="0" fontId="73" fillId="44" borderId="0" xfId="0" applyFont="1" applyFill="1" applyAlignment="1">
      <alignment horizontal="center"/>
    </xf>
    <xf numFmtId="0" fontId="70" fillId="27" borderId="0" xfId="0" applyFont="1" applyFill="1" applyAlignment="1">
      <alignment horizontal="center" vertical="center"/>
    </xf>
    <xf numFmtId="0" fontId="67" fillId="27" borderId="0" xfId="0" applyFont="1" applyFill="1" applyAlignment="1">
      <alignment horizontal="center" vertical="center"/>
    </xf>
    <xf numFmtId="0" fontId="114" fillId="0" borderId="43" xfId="0" applyFont="1" applyBorder="1" applyAlignment="1">
      <alignment horizontal="center"/>
    </xf>
    <xf numFmtId="0" fontId="114" fillId="0" borderId="0" xfId="0" applyFont="1" applyAlignment="1">
      <alignment horizontal="center"/>
    </xf>
    <xf numFmtId="0" fontId="115" fillId="32" borderId="43" xfId="46" applyFont="1" applyFill="1" applyBorder="1" applyAlignment="1">
      <alignment horizontal="center"/>
    </xf>
    <xf numFmtId="0" fontId="115" fillId="32" borderId="0" xfId="46" applyFont="1" applyFill="1" applyAlignment="1">
      <alignment horizontal="center"/>
    </xf>
    <xf numFmtId="0" fontId="88" fillId="0" borderId="0" xfId="0" applyFont="1" applyAlignment="1">
      <alignment horizontal="center" vertical="center"/>
    </xf>
    <xf numFmtId="0" fontId="69" fillId="0" borderId="0" xfId="0" applyFont="1" applyAlignment="1">
      <alignment horizontal="center" vertical="center"/>
    </xf>
    <xf numFmtId="0" fontId="88" fillId="0" borderId="0" xfId="0" applyFont="1" applyAlignment="1">
      <alignment horizontal="center"/>
    </xf>
    <xf numFmtId="0" fontId="61" fillId="0" borderId="0" xfId="0" applyFont="1" applyAlignment="1">
      <alignment horizontal="center" vertical="center"/>
    </xf>
    <xf numFmtId="0" fontId="118" fillId="44" borderId="0" xfId="0" applyFont="1" applyFill="1" applyAlignment="1">
      <alignment horizontal="center"/>
    </xf>
    <xf numFmtId="0" fontId="106" fillId="44" borderId="0" xfId="0" applyFont="1" applyFill="1" applyAlignment="1">
      <alignment horizontal="center"/>
    </xf>
    <xf numFmtId="0" fontId="35" fillId="40" borderId="0" xfId="0" applyFont="1" applyFill="1" applyAlignment="1">
      <alignment horizontal="right"/>
    </xf>
    <xf numFmtId="49" fontId="100" fillId="40" borderId="0" xfId="0" applyNumberFormat="1" applyFont="1" applyFill="1" applyAlignment="1">
      <alignment horizontal="center"/>
    </xf>
    <xf numFmtId="0" fontId="100" fillId="40" borderId="0" xfId="0" applyFont="1" applyFill="1" applyAlignment="1">
      <alignment horizontal="center"/>
    </xf>
    <xf numFmtId="3" fontId="100" fillId="40" borderId="0" xfId="0" applyNumberFormat="1" applyFont="1" applyFill="1" applyAlignment="1">
      <alignment horizontal="right"/>
    </xf>
    <xf numFmtId="0" fontId="36" fillId="40" borderId="0" xfId="0" applyFont="1" applyFill="1" applyAlignment="1">
      <alignment horizontal="center" vertical="center"/>
    </xf>
    <xf numFmtId="0" fontId="35" fillId="40" borderId="0" xfId="0" applyFont="1" applyFill="1"/>
    <xf numFmtId="0" fontId="112" fillId="40" borderId="0" xfId="0" applyFont="1" applyFill="1" applyAlignment="1">
      <alignment horizontal="center"/>
    </xf>
    <xf numFmtId="0" fontId="32" fillId="40" borderId="41" xfId="0" applyFont="1" applyFill="1" applyBorder="1" applyAlignment="1">
      <alignment horizontal="center"/>
    </xf>
    <xf numFmtId="0" fontId="32" fillId="28" borderId="41" xfId="0" applyFont="1" applyFill="1" applyBorder="1" applyAlignment="1">
      <alignment horizontal="center"/>
    </xf>
    <xf numFmtId="0" fontId="32" fillId="28" borderId="0" xfId="0" applyFont="1" applyFill="1" applyAlignment="1">
      <alignment horizontal="center"/>
    </xf>
    <xf numFmtId="0" fontId="32" fillId="29" borderId="41" xfId="0" applyFont="1" applyFill="1" applyBorder="1" applyAlignment="1">
      <alignment horizontal="center"/>
    </xf>
    <xf numFmtId="0" fontId="32" fillId="29" borderId="0" xfId="0" applyFont="1" applyFill="1" applyAlignment="1">
      <alignment horizontal="center"/>
    </xf>
    <xf numFmtId="0" fontId="2" fillId="36" borderId="0" xfId="0" applyFont="1" applyFill="1" applyAlignment="1">
      <alignment horizontal="left" vertical="center"/>
    </xf>
    <xf numFmtId="49" fontId="4" fillId="36" borderId="0" xfId="0" applyNumberFormat="1" applyFont="1" applyFill="1" applyAlignment="1">
      <alignment horizontal="center" vertical="center"/>
    </xf>
    <xf numFmtId="49" fontId="2" fillId="36" borderId="0" xfId="0" applyNumberFormat="1" applyFont="1" applyFill="1" applyAlignment="1">
      <alignment horizontal="center" vertical="center"/>
    </xf>
    <xf numFmtId="0" fontId="76" fillId="0" borderId="0" xfId="0" applyFont="1" applyAlignment="1">
      <alignment horizontal="center" vertical="center"/>
    </xf>
    <xf numFmtId="0" fontId="76" fillId="0" borderId="33" xfId="0" applyFont="1" applyBorder="1" applyAlignment="1">
      <alignment horizontal="center" vertical="center"/>
    </xf>
    <xf numFmtId="0" fontId="73" fillId="0" borderId="0" xfId="0" applyFont="1" applyAlignment="1">
      <alignment horizontal="right"/>
    </xf>
    <xf numFmtId="0" fontId="84" fillId="0" borderId="0" xfId="0" applyFont="1" applyAlignment="1">
      <alignment horizontal="center" vertical="center"/>
    </xf>
    <xf numFmtId="0" fontId="69" fillId="0" borderId="0" xfId="0" applyFont="1" applyAlignment="1">
      <alignment horizontal="center"/>
    </xf>
    <xf numFmtId="0" fontId="84" fillId="0" borderId="0" xfId="0" applyFont="1" applyAlignment="1">
      <alignment horizontal="center"/>
    </xf>
    <xf numFmtId="0" fontId="56" fillId="0" borderId="43" xfId="0" applyFont="1" applyBorder="1" applyAlignment="1">
      <alignment horizontal="center"/>
    </xf>
    <xf numFmtId="0" fontId="56" fillId="0" borderId="0" xfId="0" applyFont="1" applyAlignment="1">
      <alignment horizontal="center"/>
    </xf>
    <xf numFmtId="0" fontId="94" fillId="0" borderId="43" xfId="46" applyFont="1" applyBorder="1" applyAlignment="1">
      <alignment horizontal="center"/>
    </xf>
    <xf numFmtId="0" fontId="94" fillId="0" borderId="0" xfId="46" applyFont="1" applyAlignment="1">
      <alignment horizontal="center"/>
    </xf>
    <xf numFmtId="0" fontId="69" fillId="36" borderId="0" xfId="0" applyFont="1" applyFill="1" applyAlignment="1">
      <alignment horizontal="center" vertical="center"/>
    </xf>
    <xf numFmtId="0" fontId="67" fillId="36" borderId="0" xfId="0" applyFont="1" applyFill="1" applyAlignment="1">
      <alignment horizontal="center" vertical="center"/>
    </xf>
    <xf numFmtId="0" fontId="68" fillId="32" borderId="0" xfId="0" applyFont="1" applyFill="1" applyAlignment="1">
      <alignment horizontal="center"/>
    </xf>
    <xf numFmtId="0" fontId="51" fillId="30" borderId="0" xfId="0" applyFont="1" applyFill="1" applyAlignment="1">
      <alignment horizontal="center"/>
    </xf>
    <xf numFmtId="0" fontId="52" fillId="30" borderId="0" xfId="0" applyFont="1" applyFill="1" applyAlignment="1">
      <alignment horizontal="center"/>
    </xf>
    <xf numFmtId="0" fontId="47" fillId="30" borderId="0" xfId="0" applyFont="1" applyFill="1" applyAlignment="1">
      <alignment horizontal="center"/>
    </xf>
    <xf numFmtId="0" fontId="48" fillId="30" borderId="0" xfId="46" applyFont="1" applyFill="1" applyAlignment="1">
      <alignment horizontal="center"/>
    </xf>
    <xf numFmtId="0" fontId="49" fillId="26" borderId="0" xfId="0" applyFont="1" applyFill="1" applyAlignment="1">
      <alignment horizontal="center"/>
    </xf>
    <xf numFmtId="0" fontId="66" fillId="32" borderId="0" xfId="0" applyFont="1" applyFill="1" applyAlignment="1">
      <alignment horizontal="center" vertical="center"/>
    </xf>
    <xf numFmtId="0" fontId="31" fillId="31" borderId="0" xfId="46" applyFill="1" applyAlignment="1">
      <alignment horizontal="left"/>
    </xf>
    <xf numFmtId="0" fontId="33" fillId="31" borderId="0" xfId="0" applyFont="1" applyFill="1" applyAlignment="1">
      <alignment horizontal="center" vertical="center"/>
    </xf>
    <xf numFmtId="0" fontId="62" fillId="36" borderId="26" xfId="0" applyFont="1" applyFill="1" applyBorder="1" applyAlignment="1">
      <alignment horizontal="center"/>
    </xf>
    <xf numFmtId="0" fontId="62" fillId="36" borderId="27" xfId="0" applyFont="1" applyFill="1" applyBorder="1" applyAlignment="1">
      <alignment horizontal="center"/>
    </xf>
    <xf numFmtId="0" fontId="62" fillId="36" borderId="28" xfId="0" applyFont="1" applyFill="1" applyBorder="1" applyAlignment="1">
      <alignment horizontal="center"/>
    </xf>
    <xf numFmtId="0" fontId="59" fillId="30" borderId="0" xfId="46" applyFont="1" applyFill="1" applyAlignment="1">
      <alignment horizontal="center"/>
    </xf>
    <xf numFmtId="0" fontId="64" fillId="39" borderId="34" xfId="0" applyFont="1" applyFill="1" applyBorder="1" applyAlignment="1">
      <alignment horizontal="center" vertical="center"/>
    </xf>
    <xf numFmtId="0" fontId="65" fillId="39" borderId="35" xfId="0" applyFont="1" applyFill="1" applyBorder="1" applyAlignment="1">
      <alignment horizontal="center" vertical="center"/>
    </xf>
    <xf numFmtId="0" fontId="70" fillId="39" borderId="31" xfId="0" applyFont="1" applyFill="1" applyBorder="1" applyAlignment="1">
      <alignment horizontal="center" vertical="center"/>
    </xf>
    <xf numFmtId="0" fontId="67" fillId="39" borderId="0" xfId="0" applyFont="1" applyFill="1" applyAlignment="1">
      <alignment horizontal="center" vertical="center"/>
    </xf>
    <xf numFmtId="0" fontId="74" fillId="39" borderId="0" xfId="0" applyFont="1" applyFill="1" applyAlignment="1">
      <alignment horizontal="center"/>
    </xf>
    <xf numFmtId="0" fontId="72" fillId="36" borderId="31" xfId="0" applyFont="1" applyFill="1" applyBorder="1" applyAlignment="1">
      <alignment horizontal="center"/>
    </xf>
    <xf numFmtId="0" fontId="72" fillId="36" borderId="0" xfId="0" applyFont="1" applyFill="1" applyAlignment="1">
      <alignment horizontal="center"/>
    </xf>
    <xf numFmtId="0" fontId="69" fillId="38" borderId="31" xfId="0" applyFont="1" applyFill="1" applyBorder="1" applyAlignment="1">
      <alignment horizontal="center" vertical="center"/>
    </xf>
    <xf numFmtId="0" fontId="75" fillId="38" borderId="0" xfId="0" applyFont="1" applyFill="1" applyAlignment="1">
      <alignment horizontal="center" vertical="center"/>
    </xf>
    <xf numFmtId="0" fontId="61" fillId="36" borderId="0" xfId="0" applyFont="1" applyFill="1" applyAlignment="1">
      <alignment horizontal="center" vertical="center"/>
    </xf>
    <xf numFmtId="0" fontId="61" fillId="36" borderId="0" xfId="0" applyFont="1" applyFill="1" applyAlignment="1">
      <alignment horizontal="center"/>
    </xf>
    <xf numFmtId="0" fontId="72" fillId="36" borderId="34" xfId="0" applyFont="1" applyFill="1" applyBorder="1" applyAlignment="1">
      <alignment horizontal="center"/>
    </xf>
    <xf numFmtId="0" fontId="72" fillId="36" borderId="35" xfId="0" applyFont="1" applyFill="1" applyBorder="1" applyAlignment="1">
      <alignment horizontal="center"/>
    </xf>
    <xf numFmtId="0" fontId="73" fillId="37" borderId="0" xfId="0" applyFont="1" applyFill="1" applyAlignment="1">
      <alignment horizontal="center" vertical="center"/>
    </xf>
    <xf numFmtId="0" fontId="58" fillId="36" borderId="0" xfId="0" applyFont="1" applyFill="1" applyAlignment="1">
      <alignment horizontal="center"/>
    </xf>
    <xf numFmtId="0" fontId="58" fillId="39" borderId="35" xfId="0" applyFont="1" applyFill="1" applyBorder="1" applyAlignment="1">
      <alignment horizontal="center"/>
    </xf>
    <xf numFmtId="0" fontId="66" fillId="39" borderId="37" xfId="0" applyFont="1" applyFill="1" applyBorder="1" applyAlignment="1">
      <alignment horizontal="center"/>
    </xf>
    <xf numFmtId="0" fontId="66" fillId="39" borderId="41" xfId="0" applyFont="1" applyFill="1" applyBorder="1" applyAlignment="1">
      <alignment horizontal="center"/>
    </xf>
    <xf numFmtId="0" fontId="63" fillId="37" borderId="37" xfId="0" applyFont="1" applyFill="1" applyBorder="1" applyAlignment="1">
      <alignment horizontal="center"/>
    </xf>
    <xf numFmtId="0" fontId="63" fillId="37" borderId="41" xfId="0" applyFont="1" applyFill="1" applyBorder="1" applyAlignment="1">
      <alignment horizontal="center"/>
    </xf>
    <xf numFmtId="0" fontId="63" fillId="36" borderId="31" xfId="0" applyFont="1" applyFill="1" applyBorder="1" applyAlignment="1">
      <alignment horizontal="center" vertical="center"/>
    </xf>
    <xf numFmtId="0" fontId="63" fillId="36" borderId="0" xfId="0" applyFont="1" applyFill="1" applyAlignment="1">
      <alignment horizontal="center" vertical="center"/>
    </xf>
    <xf numFmtId="0" fontId="55" fillId="30" borderId="0" xfId="46" applyFont="1" applyFill="1" applyAlignment="1">
      <alignment horizontal="center"/>
    </xf>
    <xf numFmtId="0" fontId="54" fillId="30" borderId="0" xfId="0" applyFont="1" applyFill="1" applyAlignment="1">
      <alignment horizontal="center"/>
    </xf>
    <xf numFmtId="0" fontId="80" fillId="32" borderId="0" xfId="0" applyFont="1" applyFill="1" applyAlignment="1">
      <alignment horizontal="center"/>
    </xf>
    <xf numFmtId="0" fontId="31" fillId="0" borderId="0" xfId="46" applyAlignment="1">
      <alignment horizontal="center"/>
    </xf>
    <xf numFmtId="0" fontId="5" fillId="32" borderId="0" xfId="0" applyFont="1" applyFill="1" applyAlignment="1">
      <alignment horizontal="center"/>
    </xf>
    <xf numFmtId="0" fontId="91" fillId="40" borderId="0" xfId="0" applyFont="1" applyFill="1" applyAlignment="1">
      <alignment horizontal="center" vertical="center"/>
    </xf>
    <xf numFmtId="0" fontId="92" fillId="40" borderId="0" xfId="0" applyFont="1" applyFill="1" applyAlignment="1">
      <alignment horizontal="center" vertical="center"/>
    </xf>
    <xf numFmtId="0" fontId="92" fillId="40" borderId="0" xfId="0" applyFont="1" applyFill="1" applyAlignment="1">
      <alignment horizontal="center"/>
    </xf>
    <xf numFmtId="0" fontId="0" fillId="40" borderId="0" xfId="0" applyFill="1" applyAlignment="1">
      <alignment horizontal="center"/>
    </xf>
    <xf numFmtId="0" fontId="91" fillId="40" borderId="0" xfId="0" applyFont="1" applyFill="1" applyAlignment="1">
      <alignment horizontal="center"/>
    </xf>
    <xf numFmtId="0" fontId="69" fillId="36" borderId="0" xfId="0" applyFont="1" applyFill="1" applyAlignment="1">
      <alignment horizontal="left" vertical="center"/>
    </xf>
    <xf numFmtId="0" fontId="62" fillId="0" borderId="0" xfId="0" applyFont="1" applyAlignment="1">
      <alignment horizontal="center"/>
    </xf>
    <xf numFmtId="0" fontId="51" fillId="0" borderId="0" xfId="0" applyFont="1" applyAlignment="1">
      <alignment horizontal="center"/>
    </xf>
    <xf numFmtId="0" fontId="66" fillId="0" borderId="0" xfId="0" applyFont="1" applyAlignment="1">
      <alignment horizontal="center"/>
    </xf>
    <xf numFmtId="0" fontId="63" fillId="0" borderId="0" xfId="0" applyFont="1" applyAlignment="1">
      <alignment horizontal="center" vertical="center"/>
    </xf>
    <xf numFmtId="0" fontId="104" fillId="36" borderId="0" xfId="0" applyFont="1" applyFill="1" applyAlignment="1">
      <alignment horizontal="center" vertical="center"/>
    </xf>
    <xf numFmtId="0" fontId="0" fillId="0" borderId="75" xfId="0" applyBorder="1" applyAlignment="1" applyProtection="1">
      <alignment horizontal="center" vertical="center" wrapText="1"/>
      <protection locked="0"/>
    </xf>
    <xf numFmtId="0" fontId="0" fillId="0" borderId="0" xfId="0" applyProtection="1">
      <protection locked="0"/>
    </xf>
    <xf numFmtId="0" fontId="0" fillId="0" borderId="85" xfId="0" applyBorder="1" applyProtection="1">
      <protection locked="0"/>
    </xf>
    <xf numFmtId="0" fontId="0" fillId="0" borderId="52"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11" xfId="0" applyBorder="1" applyProtection="1">
      <protection locked="0"/>
    </xf>
    <xf numFmtId="0" fontId="0" fillId="0" borderId="12" xfId="0" applyBorder="1" applyProtection="1">
      <protection locked="0"/>
    </xf>
    <xf numFmtId="0" fontId="0" fillId="0" borderId="47" xfId="0" applyBorder="1" applyAlignment="1" applyProtection="1">
      <alignment horizontal="center" vertical="center" wrapText="1"/>
      <protection locked="0"/>
    </xf>
    <xf numFmtId="0" fontId="256" fillId="84" borderId="47" xfId="0" applyFont="1" applyFill="1" applyBorder="1" applyAlignment="1" applyProtection="1">
      <alignment horizontal="center" vertical="center" wrapText="1"/>
      <protection locked="0"/>
    </xf>
    <xf numFmtId="0" fontId="0" fillId="84" borderId="12" xfId="0" applyFill="1" applyBorder="1" applyProtection="1">
      <protection locked="0"/>
    </xf>
    <xf numFmtId="14" fontId="209" fillId="84" borderId="47" xfId="0" applyNumberFormat="1" applyFont="1" applyFill="1" applyBorder="1" applyAlignment="1" applyProtection="1">
      <alignment horizontal="center" vertical="center" wrapText="1"/>
      <protection locked="0"/>
    </xf>
    <xf numFmtId="1" fontId="275" fillId="84" borderId="47" xfId="0" applyNumberFormat="1" applyFont="1" applyFill="1" applyBorder="1" applyAlignment="1" applyProtection="1">
      <alignment horizontal="center" vertical="center" wrapText="1"/>
      <protection locked="0"/>
    </xf>
    <xf numFmtId="0" fontId="230" fillId="90" borderId="50" xfId="0" applyFont="1" applyFill="1" applyBorder="1" applyAlignment="1" applyProtection="1">
      <alignment horizontal="center" vertical="center" wrapText="1"/>
      <protection locked="0"/>
    </xf>
    <xf numFmtId="0" fontId="0" fillId="90" borderId="49" xfId="0" applyFill="1" applyBorder="1" applyProtection="1">
      <protection locked="0"/>
    </xf>
    <xf numFmtId="14" fontId="209" fillId="90" borderId="47" xfId="0" applyNumberFormat="1" applyFont="1" applyFill="1" applyBorder="1" applyAlignment="1" applyProtection="1">
      <alignment horizontal="center" vertical="center" wrapText="1"/>
      <protection locked="0"/>
    </xf>
    <xf numFmtId="1" fontId="275" fillId="90" borderId="47" xfId="0" applyNumberFormat="1" applyFont="1" applyFill="1" applyBorder="1" applyAlignment="1" applyProtection="1">
      <alignment horizontal="center" vertical="center" wrapText="1"/>
      <protection locked="0"/>
    </xf>
    <xf numFmtId="0" fontId="206" fillId="0" borderId="47" xfId="0" applyFont="1" applyBorder="1" applyAlignment="1" applyProtection="1">
      <alignment horizontal="center" vertical="center" wrapText="1"/>
      <protection locked="0"/>
    </xf>
    <xf numFmtId="0" fontId="211" fillId="0" borderId="47" xfId="0" applyFont="1" applyBorder="1" applyAlignment="1" applyProtection="1">
      <alignment horizontal="center" vertical="center" wrapText="1"/>
      <protection locked="0"/>
    </xf>
    <xf numFmtId="0" fontId="211" fillId="0" borderId="50" xfId="0" applyFont="1" applyBorder="1" applyAlignment="1" applyProtection="1">
      <alignment horizontal="center" vertical="center" wrapText="1"/>
      <protection locked="0"/>
    </xf>
    <xf numFmtId="0" fontId="211" fillId="0" borderId="111" xfId="0" applyFont="1" applyBorder="1" applyAlignment="1" applyProtection="1">
      <alignment horizontal="center" vertical="center" wrapText="1"/>
      <protection locked="0"/>
    </xf>
    <xf numFmtId="0" fontId="206" fillId="0" borderId="50" xfId="0" applyFont="1" applyBorder="1" applyAlignment="1" applyProtection="1">
      <alignment horizontal="center" vertical="center" wrapText="1"/>
      <protection locked="0"/>
    </xf>
    <xf numFmtId="0" fontId="0" fillId="0" borderId="49" xfId="0" applyBorder="1" applyProtection="1">
      <protection locked="0"/>
    </xf>
    <xf numFmtId="0" fontId="211" fillId="0" borderId="50" xfId="0" applyFont="1" applyBorder="1" applyAlignment="1" applyProtection="1">
      <alignment horizontal="center" vertical="center" wrapText="1"/>
      <protection locked="0"/>
    </xf>
    <xf numFmtId="0" fontId="0" fillId="0" borderId="67" xfId="0" applyBorder="1" applyProtection="1">
      <protection locked="0"/>
    </xf>
    <xf numFmtId="0" fontId="31" fillId="0" borderId="47" xfId="46" applyBorder="1" applyAlignment="1" applyProtection="1">
      <alignment horizontal="center" vertical="center" wrapText="1"/>
      <protection locked="0"/>
    </xf>
    <xf numFmtId="0" fontId="211" fillId="0" borderId="47" xfId="0" applyFont="1" applyBorder="1" applyAlignment="1" applyProtection="1">
      <alignment horizontal="center" vertical="center" wrapText="1"/>
      <protection locked="0"/>
    </xf>
    <xf numFmtId="9" fontId="257" fillId="0" borderId="47" xfId="46" applyNumberFormat="1" applyFont="1" applyBorder="1" applyAlignment="1" applyProtection="1">
      <alignment horizontal="left" vertical="top"/>
      <protection locked="0"/>
    </xf>
    <xf numFmtId="0" fontId="257" fillId="0" borderId="11" xfId="0" applyFont="1" applyBorder="1" applyProtection="1">
      <protection locked="0"/>
    </xf>
    <xf numFmtId="0" fontId="257" fillId="0" borderId="12" xfId="0" applyFont="1" applyBorder="1" applyProtection="1">
      <protection locked="0"/>
    </xf>
    <xf numFmtId="9" fontId="256" fillId="0" borderId="47" xfId="0" applyNumberFormat="1" applyFont="1" applyBorder="1" applyAlignment="1" applyProtection="1">
      <alignment horizontal="left" vertical="top"/>
      <protection locked="0"/>
    </xf>
    <xf numFmtId="0" fontId="230" fillId="0" borderId="47" xfId="0" applyFont="1" applyBorder="1" applyAlignment="1" applyProtection="1">
      <alignment horizontal="center" vertical="center" wrapText="1"/>
      <protection locked="0"/>
    </xf>
    <xf numFmtId="0" fontId="256" fillId="0" borderId="47" xfId="0" applyFont="1" applyBorder="1" applyAlignment="1" applyProtection="1">
      <alignment horizontal="center" vertical="center" wrapText="1"/>
      <protection locked="0"/>
    </xf>
    <xf numFmtId="0" fontId="211" fillId="0" borderId="47" xfId="0" applyFont="1" applyBorder="1" applyAlignment="1" applyProtection="1">
      <alignment horizontal="left" vertical="top"/>
      <protection locked="0"/>
    </xf>
    <xf numFmtId="0" fontId="211" fillId="0" borderId="47" xfId="0" applyFont="1" applyBorder="1" applyAlignment="1" applyProtection="1">
      <alignment horizontal="left" vertical="top" wrapText="1"/>
      <protection locked="0"/>
    </xf>
    <xf numFmtId="0" fontId="256" fillId="0" borderId="47" xfId="0" applyFont="1" applyBorder="1" applyAlignment="1" applyProtection="1">
      <alignment horizontal="left" vertical="top" wrapText="1"/>
      <protection locked="0"/>
    </xf>
    <xf numFmtId="0" fontId="209" fillId="0" borderId="47" xfId="0" applyFont="1" applyBorder="1" applyAlignment="1" applyProtection="1">
      <alignment horizontal="center" vertical="center" wrapText="1"/>
      <protection locked="0"/>
    </xf>
    <xf numFmtId="0" fontId="211" fillId="0" borderId="52" xfId="0" applyFont="1" applyBorder="1" applyAlignment="1" applyProtection="1">
      <alignment horizontal="center" vertical="center"/>
      <protection locked="0"/>
    </xf>
    <xf numFmtId="0" fontId="211" fillId="0" borderId="47" xfId="0" applyFont="1" applyBorder="1" applyAlignment="1" applyProtection="1">
      <alignment horizontal="left" vertical="top"/>
      <protection locked="0"/>
    </xf>
    <xf numFmtId="0" fontId="211" fillId="0" borderId="50" xfId="0" applyFont="1" applyBorder="1" applyAlignment="1" applyProtection="1">
      <alignment horizontal="left" vertical="top"/>
      <protection locked="0"/>
    </xf>
    <xf numFmtId="0" fontId="211" fillId="0" borderId="52" xfId="0" applyFont="1" applyBorder="1" applyAlignment="1" applyProtection="1">
      <alignment horizontal="center" vertical="center" wrapText="1"/>
      <protection locked="0"/>
    </xf>
    <xf numFmtId="0" fontId="209" fillId="0" borderId="50" xfId="0" applyFont="1" applyBorder="1" applyAlignment="1" applyProtection="1">
      <alignment horizontal="center" vertical="center" wrapText="1"/>
      <protection locked="0"/>
    </xf>
    <xf numFmtId="0" fontId="211" fillId="0" borderId="84" xfId="0" applyFont="1" applyBorder="1" applyAlignment="1" applyProtection="1">
      <alignment horizontal="center" vertical="center"/>
      <protection locked="0"/>
    </xf>
    <xf numFmtId="164" fontId="211" fillId="0" borderId="50" xfId="0" applyNumberFormat="1" applyFont="1" applyBorder="1" applyAlignment="1" applyProtection="1">
      <alignment horizontal="center" vertical="center"/>
      <protection locked="0"/>
    </xf>
    <xf numFmtId="164" fontId="211" fillId="0" borderId="47" xfId="0" applyNumberFormat="1" applyFont="1" applyBorder="1" applyAlignment="1" applyProtection="1">
      <alignment horizontal="center" vertical="center" wrapText="1"/>
      <protection locked="0"/>
    </xf>
    <xf numFmtId="0" fontId="0" fillId="0" borderId="47" xfId="0" applyBorder="1" applyProtection="1">
      <protection locked="0"/>
    </xf>
    <xf numFmtId="0" fontId="0" fillId="0" borderId="108" xfId="0" applyBorder="1" applyAlignment="1" applyProtection="1">
      <alignment horizontal="left" vertical="center" wrapText="1"/>
      <protection locked="0"/>
    </xf>
    <xf numFmtId="164" fontId="211" fillId="0" borderId="47" xfId="0" applyNumberFormat="1" applyFont="1" applyBorder="1" applyAlignment="1" applyProtection="1">
      <alignment horizontal="center" vertical="center" wrapText="1"/>
      <protection locked="0"/>
    </xf>
    <xf numFmtId="0" fontId="0" fillId="0" borderId="10" xfId="0" applyBorder="1" applyAlignment="1" applyProtection="1">
      <alignment horizontal="left" vertical="top"/>
      <protection locked="0"/>
    </xf>
    <xf numFmtId="0" fontId="211" fillId="0" borderId="115" xfId="0" applyFont="1" applyBorder="1" applyAlignment="1" applyProtection="1">
      <alignment horizontal="left" vertical="top"/>
      <protection locked="0"/>
    </xf>
    <xf numFmtId="0" fontId="211" fillId="0" borderId="117" xfId="0" applyFont="1" applyBorder="1" applyAlignment="1" applyProtection="1">
      <alignment horizontal="left" vertical="top"/>
      <protection locked="0"/>
    </xf>
    <xf numFmtId="0" fontId="211" fillId="0" borderId="108" xfId="0" applyFont="1" applyBorder="1" applyAlignment="1" applyProtection="1">
      <alignment horizontal="center" vertical="center" wrapText="1"/>
      <protection locked="0"/>
    </xf>
    <xf numFmtId="164" fontId="211" fillId="0" borderId="108" xfId="0" applyNumberFormat="1" applyFont="1" applyBorder="1" applyAlignment="1" applyProtection="1">
      <alignment horizontal="center" vertical="center" wrapText="1"/>
      <protection locked="0"/>
    </xf>
    <xf numFmtId="164" fontId="211" fillId="0" borderId="118" xfId="0" applyNumberFormat="1" applyFont="1" applyBorder="1" applyAlignment="1" applyProtection="1">
      <alignment horizontal="center" vertical="center" wrapText="1"/>
      <protection locked="0"/>
    </xf>
    <xf numFmtId="164" fontId="256" fillId="0" borderId="108" xfId="0" applyNumberFormat="1" applyFont="1" applyBorder="1" applyAlignment="1" applyProtection="1">
      <alignment horizontal="left" vertical="top" wrapText="1"/>
      <protection locked="0"/>
    </xf>
    <xf numFmtId="0" fontId="0" fillId="0" borderId="109" xfId="0" applyBorder="1" applyProtection="1">
      <protection locked="0"/>
    </xf>
    <xf numFmtId="0" fontId="0" fillId="0" borderId="110" xfId="0" applyBorder="1" applyProtection="1">
      <protection locked="0"/>
    </xf>
    <xf numFmtId="0" fontId="0" fillId="0" borderId="118" xfId="0" applyBorder="1" applyAlignment="1" applyProtection="1">
      <alignment horizontal="center"/>
      <protection locked="0"/>
    </xf>
    <xf numFmtId="0" fontId="0" fillId="0" borderId="109" xfId="0" applyBorder="1" applyAlignment="1" applyProtection="1">
      <alignment horizontal="center"/>
      <protection locked="0"/>
    </xf>
    <xf numFmtId="164" fontId="211" fillId="0" borderId="108" xfId="0" applyNumberFormat="1" applyFont="1" applyBorder="1" applyAlignment="1" applyProtection="1">
      <alignment horizontal="left" vertical="top" wrapText="1"/>
      <protection locked="0"/>
    </xf>
    <xf numFmtId="164" fontId="211" fillId="0" borderId="105" xfId="0" applyNumberFormat="1" applyFont="1" applyBorder="1" applyAlignment="1" applyProtection="1">
      <alignment horizontal="left" vertical="top" wrapText="1"/>
      <protection locked="0"/>
    </xf>
    <xf numFmtId="0" fontId="0" fillId="0" borderId="106" xfId="0" applyBorder="1" applyProtection="1">
      <protection locked="0"/>
    </xf>
    <xf numFmtId="0" fontId="0" fillId="0" borderId="107" xfId="0" applyBorder="1" applyProtection="1">
      <protection locked="0"/>
    </xf>
    <xf numFmtId="164" fontId="211" fillId="0" borderId="47" xfId="0" applyNumberFormat="1" applyFont="1" applyBorder="1" applyAlignment="1" applyProtection="1">
      <alignment horizontal="left" vertical="top" wrapText="1"/>
      <protection locked="0"/>
    </xf>
    <xf numFmtId="164" fontId="211" fillId="0" borderId="119" xfId="0" applyNumberFormat="1" applyFont="1" applyBorder="1" applyAlignment="1" applyProtection="1">
      <alignment horizontal="center" vertical="top" wrapText="1"/>
      <protection locked="0"/>
    </xf>
    <xf numFmtId="0" fontId="0" fillId="0" borderId="112" xfId="0" applyBorder="1" applyProtection="1">
      <protection locked="0"/>
    </xf>
    <xf numFmtId="0" fontId="0" fillId="0" borderId="0" xfId="0" applyBorder="1" applyProtection="1">
      <protection locked="0"/>
    </xf>
    <xf numFmtId="0" fontId="275" fillId="91" borderId="108" xfId="0" applyFont="1" applyFill="1" applyBorder="1" applyAlignment="1" applyProtection="1">
      <alignment horizontal="center" vertical="center" wrapText="1"/>
      <protection locked="0"/>
    </xf>
    <xf numFmtId="0" fontId="275" fillId="90" borderId="108" xfId="0" applyFont="1" applyFill="1" applyBorder="1" applyAlignment="1" applyProtection="1">
      <alignment horizontal="center" vertical="center" wrapText="1"/>
      <protection locked="0"/>
    </xf>
    <xf numFmtId="0" fontId="211" fillId="91" borderId="108" xfId="0" applyFont="1" applyFill="1" applyBorder="1" applyAlignment="1" applyProtection="1">
      <alignment horizontal="center" vertical="center" wrapText="1"/>
      <protection locked="0"/>
    </xf>
    <xf numFmtId="0" fontId="211" fillId="90" borderId="108" xfId="0" applyFont="1" applyFill="1" applyBorder="1" applyAlignment="1" applyProtection="1">
      <alignment horizontal="center" vertical="center" wrapText="1"/>
      <protection locked="0"/>
    </xf>
    <xf numFmtId="164" fontId="211" fillId="91" borderId="118" xfId="0" applyNumberFormat="1" applyFont="1" applyFill="1" applyBorder="1" applyAlignment="1" applyProtection="1">
      <alignment horizontal="center" vertical="center" wrapText="1"/>
      <protection locked="0"/>
    </xf>
    <xf numFmtId="0" fontId="0" fillId="0" borderId="47" xfId="0" applyBorder="1" applyAlignment="1" applyProtection="1">
      <alignment horizontal="left" vertical="top"/>
      <protection locked="0"/>
    </xf>
    <xf numFmtId="164" fontId="211" fillId="90" borderId="118" xfId="0" applyNumberFormat="1" applyFont="1" applyFill="1" applyBorder="1" applyAlignment="1" applyProtection="1">
      <alignment horizontal="center" vertical="center" wrapText="1"/>
      <protection locked="0"/>
    </xf>
    <xf numFmtId="0" fontId="0" fillId="0" borderId="50" xfId="0" applyBorder="1" applyAlignment="1" applyProtection="1">
      <alignment horizontal="left" vertical="top"/>
      <protection locked="0"/>
    </xf>
    <xf numFmtId="0" fontId="0" fillId="0" borderId="50" xfId="0" applyBorder="1" applyProtection="1">
      <protection locked="0"/>
    </xf>
    <xf numFmtId="0" fontId="230" fillId="0" borderId="47" xfId="0" applyFont="1" applyBorder="1" applyAlignment="1">
      <alignment horizontal="left" vertical="center"/>
    </xf>
    <xf numFmtId="164" fontId="217" fillId="0" borderId="118" xfId="0" applyNumberFormat="1" applyFont="1" applyBorder="1" applyAlignment="1">
      <alignment horizontal="center" vertical="center" wrapText="1"/>
    </xf>
    <xf numFmtId="164" fontId="0" fillId="0" borderId="47" xfId="0" applyNumberFormat="1" applyBorder="1" applyAlignment="1" applyProtection="1">
      <alignment horizontal="center" vertical="center"/>
      <protection locked="0"/>
    </xf>
    <xf numFmtId="164" fontId="209" fillId="0" borderId="0" xfId="28" applyNumberFormat="1" applyFont="1" applyAlignment="1" applyProtection="1">
      <alignment horizontal="center" vertical="center"/>
      <protection locked="0"/>
    </xf>
    <xf numFmtId="0" fontId="227" fillId="0" borderId="0" xfId="0" applyFont="1" applyBorder="1" applyAlignment="1" applyProtection="1">
      <alignment horizontal="left" vertical="center"/>
      <protection locked="0"/>
    </xf>
    <xf numFmtId="0" fontId="0" fillId="0" borderId="47" xfId="0" applyBorder="1" applyAlignment="1">
      <alignment horizontal="center"/>
    </xf>
    <xf numFmtId="0" fontId="0" fillId="0" borderId="120" xfId="0" applyBorder="1" applyProtection="1">
      <protection locked="0"/>
    </xf>
    <xf numFmtId="0" fontId="0" fillId="0" borderId="113" xfId="0" applyBorder="1" applyProtection="1">
      <protection locked="0"/>
    </xf>
    <xf numFmtId="0" fontId="0" fillId="0" borderId="47" xfId="0" applyBorder="1" applyAlignment="1" applyProtection="1">
      <alignment horizontal="center"/>
      <protection locked="0"/>
    </xf>
    <xf numFmtId="0" fontId="0" fillId="0" borderId="47" xfId="0" applyBorder="1" applyAlignment="1" applyProtection="1">
      <alignment horizontal="left" vertical="top" wrapText="1"/>
      <protection locked="0"/>
    </xf>
    <xf numFmtId="0" fontId="211" fillId="0" borderId="108" xfId="0" applyFont="1" applyBorder="1" applyAlignment="1" applyProtection="1">
      <alignment horizontal="left" vertical="top" wrapText="1"/>
      <protection locked="0"/>
    </xf>
    <xf numFmtId="8" fontId="206" fillId="0" borderId="108" xfId="0" applyNumberFormat="1" applyFont="1" applyBorder="1" applyAlignment="1" applyProtection="1">
      <alignment horizontal="right" vertical="top" wrapText="1"/>
      <protection locked="0"/>
    </xf>
    <xf numFmtId="0" fontId="0" fillId="0" borderId="110" xfId="0" applyBorder="1" applyAlignment="1" applyProtection="1">
      <alignment horizontal="right"/>
      <protection locked="0"/>
    </xf>
    <xf numFmtId="0" fontId="211" fillId="0" borderId="0" xfId="0" applyFont="1" applyBorder="1" applyAlignment="1" applyProtection="1">
      <alignment horizontal="left" vertical="top" wrapText="1"/>
      <protection locked="0"/>
    </xf>
    <xf numFmtId="0" fontId="0" fillId="0" borderId="0" xfId="0" applyBorder="1" applyProtection="1">
      <protection locked="0"/>
    </xf>
    <xf numFmtId="0" fontId="211" fillId="0" borderId="0" xfId="0" applyFont="1" applyBorder="1" applyAlignment="1" applyProtection="1">
      <alignment horizontal="left" vertical="top" wrapText="1"/>
      <protection locked="0"/>
    </xf>
    <xf numFmtId="0" fontId="206" fillId="0" borderId="119" xfId="0" applyFont="1" applyBorder="1" applyAlignment="1" applyProtection="1">
      <alignment horizontal="left" vertical="top"/>
      <protection locked="0"/>
    </xf>
    <xf numFmtId="0" fontId="0" fillId="0" borderId="111" xfId="0" applyBorder="1" applyProtection="1">
      <protection locked="0"/>
    </xf>
    <xf numFmtId="0" fontId="0" fillId="0" borderId="119" xfId="0" applyBorder="1" applyProtection="1">
      <protection locked="0"/>
    </xf>
    <xf numFmtId="0" fontId="0" fillId="0" borderId="118" xfId="0" applyBorder="1" applyAlignment="1" applyProtection="1">
      <alignment horizontal="center" vertical="center" wrapText="1"/>
      <protection locked="0"/>
    </xf>
    <xf numFmtId="0" fontId="256" fillId="0" borderId="108" xfId="0" applyFont="1" applyBorder="1" applyAlignment="1" applyProtection="1">
      <alignment horizontal="left" vertical="top" wrapText="1"/>
      <protection locked="0"/>
    </xf>
  </cellXfs>
  <cellStyles count="55">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omma" xfId="54" xr:uid="{00000000-0005-0000-0000-00001B000000}"/>
    <cellStyle name="Currency" xfId="28" xr:uid="{00000000-0005-0000-0000-00001C000000}"/>
    <cellStyle name="Currency 2" xfId="29" xr:uid="{00000000-0005-0000-0000-00001D000000}"/>
    <cellStyle name="Currency 2 2" xfId="50" xr:uid="{00000000-0005-0000-0000-00001E000000}"/>
    <cellStyle name="Explanatory Text" xfId="30" xr:uid="{00000000-0005-0000-0000-00001F000000}"/>
    <cellStyle name="Good" xfId="31" xr:uid="{00000000-0005-0000-0000-000020000000}"/>
    <cellStyle name="Heading 1" xfId="32" xr:uid="{00000000-0005-0000-0000-000021000000}"/>
    <cellStyle name="Heading 2" xfId="33" xr:uid="{00000000-0005-0000-0000-000022000000}"/>
    <cellStyle name="Heading 3" xfId="34" xr:uid="{00000000-0005-0000-0000-000023000000}"/>
    <cellStyle name="Heading 3 2" xfId="51" xr:uid="{00000000-0005-0000-0000-000024000000}"/>
    <cellStyle name="Heading 4" xfId="35" xr:uid="{00000000-0005-0000-0000-000025000000}"/>
    <cellStyle name="Hyperlink" xfId="46" xr:uid="{00000000-0005-0000-0000-000026000000}"/>
    <cellStyle name="Input" xfId="36" xr:uid="{00000000-0005-0000-0000-000027000000}"/>
    <cellStyle name="Linked Cell" xfId="37" xr:uid="{00000000-0005-0000-0000-000028000000}"/>
    <cellStyle name="Neutral" xfId="38" xr:uid="{00000000-0005-0000-0000-000029000000}"/>
    <cellStyle name="Normal" xfId="0" builtinId="0"/>
    <cellStyle name="Normal 2" xfId="39" xr:uid="{00000000-0005-0000-0000-00002B000000}"/>
    <cellStyle name="Normal 2 2" xfId="52" xr:uid="{00000000-0005-0000-0000-00002C000000}"/>
    <cellStyle name="Normal 3" xfId="49" xr:uid="{00000000-0005-0000-0000-00002D000000}"/>
    <cellStyle name="Normal_simple-loan-calculator" xfId="48" xr:uid="{00000000-0005-0000-0000-00002E000000}"/>
    <cellStyle name="Note" xfId="40" xr:uid="{00000000-0005-0000-0000-00002F000000}"/>
    <cellStyle name="Output" xfId="41" xr:uid="{00000000-0005-0000-0000-000030000000}"/>
    <cellStyle name="Percent" xfId="47" xr:uid="{00000000-0005-0000-0000-000031000000}"/>
    <cellStyle name="Percent 2" xfId="42" xr:uid="{00000000-0005-0000-0000-000032000000}"/>
    <cellStyle name="Percent 2 2" xfId="53" xr:uid="{00000000-0005-0000-0000-000033000000}"/>
    <cellStyle name="Title" xfId="43" xr:uid="{00000000-0005-0000-0000-000034000000}"/>
    <cellStyle name="Total" xfId="44" xr:uid="{00000000-0005-0000-0000-000035000000}"/>
    <cellStyle name="Warning Text" xfId="45" xr:uid="{00000000-0005-0000-0000-000036000000}"/>
  </cellStyles>
  <dxfs count="11">
    <dxf>
      <fill>
        <patternFill>
          <bgColor indexed="22"/>
        </patternFill>
      </fill>
    </dxf>
    <dxf>
      <font>
        <color indexed="22"/>
      </font>
    </dxf>
    <dxf>
      <fill>
        <patternFill>
          <bgColor indexed="22"/>
        </patternFill>
      </fill>
    </dxf>
    <dxf>
      <fill>
        <patternFill>
          <bgColor indexed="22"/>
        </patternFill>
      </fill>
    </dxf>
    <dxf>
      <font>
        <color indexed="22"/>
      </font>
    </dxf>
    <dxf>
      <fill>
        <patternFill>
          <bgColor indexed="22"/>
        </patternFill>
      </fill>
    </dxf>
    <dxf>
      <font>
        <color indexed="22"/>
      </font>
    </dxf>
    <dxf>
      <fill>
        <patternFill>
          <bgColor indexed="22"/>
        </patternFill>
      </fill>
    </dxf>
    <dxf>
      <font>
        <color indexed="22"/>
      </font>
    </dxf>
    <dxf>
      <fill>
        <patternFill>
          <bgColor indexed="22"/>
        </patternFill>
      </fill>
    </dxf>
    <dxf>
      <font>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8.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139" Type="http://schemas.openxmlformats.org/officeDocument/2006/relationships/externalLink" Target="externalLinks/externalLink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9.xml"/><Relationship Id="rId145"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4.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0.xml"/><Relationship Id="rId146" Type="http://schemas.openxmlformats.org/officeDocument/2006/relationships/externalLink" Target="externalLinks/externalLink1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xml"/><Relationship Id="rId153" Type="http://schemas.openxmlformats.org/officeDocument/2006/relationships/sheetMetadata" Target="metadata.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2.xml"/><Relationship Id="rId148"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54" Type="http://schemas.microsoft.com/office/2017/10/relationships/person" Target="persons/perso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13.xml"/><Relationship Id="rId90" Type="http://schemas.openxmlformats.org/officeDocument/2006/relationships/worksheet" Target="worksheets/sheet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29E-4C25-B1F3-BD56A2FE7655}"/>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29E-4C25-B1F3-BD56A2FE7655}"/>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29E-4C25-B1F3-BD56A2FE7655}"/>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Recap'!$A$2:$C$2</c:f>
              <c:numCache>
                <c:formatCode>_("$"* #,##0.00_);_("$"* \(#,##0.00\);_("$"* "-"??_);_(@_)</c:formatCode>
                <c:ptCount val="3"/>
                <c:pt idx="0">
                  <c:v>50000</c:v>
                </c:pt>
                <c:pt idx="1">
                  <c:v>150000</c:v>
                </c:pt>
                <c:pt idx="2">
                  <c:v>500000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29E-4C25-B1F3-BD56A2FE7655}"/>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29E-4C25-B1F3-BD56A2FE7655}"/>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29E-4C25-B1F3-BD56A2FE7655}"/>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29E-4C25-B1F3-BD56A2FE7655}"/>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29E-4C25-B1F3-BD56A2FE7655}"/>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D86B-4FAF-AED0-8AE81167D415}"/>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D86B-4FAF-AED0-8AE81167D415}"/>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D86B-4FAF-AED0-8AE81167D415}"/>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'No Plan Recap'!$A$2:$C$2</c:f>
              <c:numCache>
                <c:formatCode>_("$"* #,##0.00_);_("$"* \(#,##0.00\);_("$"* "-"??_);_(@_)</c:formatCode>
                <c:ptCount val="3"/>
                <c:pt idx="0">
                  <c:v>50000</c:v>
                </c:pt>
                <c:pt idx="1">
                  <c:v>0</c:v>
                </c:pt>
                <c:pt idx="2">
                  <c:v>188000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D86B-4FAF-AED0-8AE81167D415}"/>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D86B-4FAF-AED0-8AE81167D415}"/>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D86B-4FAF-AED0-8AE81167D415}"/>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D86B-4FAF-AED0-8AE81167D415}"/>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'No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D86B-4FAF-AED0-8AE81167D415}"/>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8D01-48A9-91B4-9A36B507DA69}"/>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8D01-48A9-91B4-9A36B507DA69}"/>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8D01-48A9-91B4-9A36B507DA6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B Recap'!$A$2:$C$2</c:f>
              <c:numCache>
                <c:formatCode>_("$"* #,##0.00_);_("$"* \(#,##0.00\);_("$"* "-"??_);_(@_)</c:formatCode>
                <c:ptCount val="3"/>
                <c:pt idx="0">
                  <c:v>233477.58</c:v>
                </c:pt>
                <c:pt idx="1">
                  <c:v>600000</c:v>
                </c:pt>
                <c:pt idx="2">
                  <c:v>181153</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8D01-48A9-91B4-9A36B507DA69}"/>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8D01-48A9-91B4-9A36B507DA69}"/>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8D01-48A9-91B4-9A36B507DA69}"/>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8D01-48A9-91B4-9A36B507DA6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B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8D01-48A9-91B4-9A36B507DA69}"/>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B799-4A6E-A63D-21FB033BF65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799-4A6E-A63D-21FB033BF65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799-4A6E-A63D-21FB033BF65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A Recap  (2)'!$A$2:$C$2</c:f>
              <c:numCache>
                <c:formatCode>_("$"* #,##0.00_);_("$"* \(#,##0.00\);_("$"* "-"??_);_(@_)</c:formatCode>
                <c:ptCount val="3"/>
                <c:pt idx="0">
                  <c:v>333477.5</c:v>
                </c:pt>
                <c:pt idx="1">
                  <c:v>500000</c:v>
                </c:pt>
                <c:pt idx="2">
                  <c:v>181153</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799-4A6E-A63D-21FB033BF65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799-4A6E-A63D-21FB033BF65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799-4A6E-A63D-21FB033BF65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799-4A6E-A63D-21FB033BF65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A Recap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799-4A6E-A63D-21FB033BF657}"/>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2758-4BC0-B161-7EECBE90BFF0}"/>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2758-4BC0-B161-7EECBE90BFF0}"/>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2758-4BC0-B161-7EECBE90BFF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'[11]Hedge Plan 3 Snapshot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2758-4BC0-B161-7EECBE90BFF0}"/>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2758-4BC0-B161-7EECBE90BFF0}"/>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2758-4BC0-B161-7EECBE90BFF0}"/>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2758-4BC0-B161-7EECBE90BFF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'[11]Hedge Plan 3 Snapshot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2758-4BC0-B161-7EECBE90BFF0}"/>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523D-4E63-B8D6-0417741CE183}"/>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523D-4E63-B8D6-0417741CE183}"/>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523D-4E63-B8D6-0417741CE18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Gold Plan Recap'!$A$2:$C$2</c:f>
              <c:numCache>
                <c:formatCode>_("$"* #,##0.00_);_("$"* \(#,##0.00\);_("$"* "-"??_);_(@_)</c:formatCode>
                <c:ptCount val="3"/>
                <c:pt idx="0">
                  <c:v>321628.61</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523D-4E63-B8D6-0417741CE183}"/>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523D-4E63-B8D6-0417741CE183}"/>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523D-4E63-B8D6-0417741CE183}"/>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523D-4E63-B8D6-0417741CE18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Gold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523D-4E63-B8D6-0417741CE183}"/>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6AF7-4D6D-9517-DDD126DD53B5}"/>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6AF7-4D6D-9517-DDD126DD53B5}"/>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6AF7-4D6D-9517-DDD126DD53B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'RG Gold Plan Recap'!$A$2:$C$2</c:f>
              <c:numCache>
                <c:formatCode>_("$"* #,##0.00_);_("$"* \(#,##0.00\);_("$"* "-"??_);_(@_)</c:formatCode>
                <c:ptCount val="3"/>
                <c:pt idx="0">
                  <c:v>321628.61</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6AF7-4D6D-9517-DDD126DD53B5}"/>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6AF7-4D6D-9517-DDD126DD53B5}"/>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6AF7-4D6D-9517-DDD126DD53B5}"/>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6AF7-4D6D-9517-DDD126DD53B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'RG Gold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6AF7-4D6D-9517-DDD126DD53B5}"/>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6151-4FF3-94D5-A936D4897B10}"/>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6151-4FF3-94D5-A936D4897B10}"/>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6151-4FF3-94D5-A936D4897B1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Recap  (2)'!$A$2:$C$2</c:f>
              <c:numCache>
                <c:formatCode>_("$"* #,##0.00_);_("$"* \(#,##0.00\);_("$"* "-"??_);_(@_)</c:formatCode>
                <c:ptCount val="3"/>
                <c:pt idx="0">
                  <c:v>321628.61</c:v>
                </c:pt>
                <c:pt idx="1">
                  <c:v>0</c:v>
                </c:pt>
                <c:pt idx="2">
                  <c:v>188000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6151-4FF3-94D5-A936D4897B10}"/>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6151-4FF3-94D5-A936D4897B10}"/>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6151-4FF3-94D5-A936D4897B10}"/>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6151-4FF3-94D5-A936D4897B1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Recap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6151-4FF3-94D5-A936D4897B10}"/>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9281-46F1-B45B-4F733CBBBEFD}"/>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9281-46F1-B45B-4F733CBBBEFD}"/>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9281-46F1-B45B-4F733CBBBEF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'Retirement Silver Plan Recap'!$A$2:$C$2</c:f>
              <c:numCache>
                <c:formatCode>_("$"* #,##0.00_);_("$"* \(#,##0.00\);_("$"* "-"??_);_(@_)</c:formatCode>
                <c:ptCount val="3"/>
                <c:pt idx="0">
                  <c:v>321628.61</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9281-46F1-B45B-4F733CBBBEFD}"/>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9281-46F1-B45B-4F733CBBBEFD}"/>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9281-46F1-B45B-4F733CBBBEFD}"/>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9281-46F1-B45B-4F733CBBBEF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'Retirement Silver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9281-46F1-B45B-4F733CBBBEFD}"/>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781-4B30-955C-7B030E93B55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781-4B30-955C-7B030E93B55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781-4B30-955C-7B030E93B55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Silver Plan Recap'!$A$2:$C$2</c:f>
              <c:numCache>
                <c:formatCode>_("$"* #,##0.00_);_("$"* \(#,##0.00\);_("$"* "-"??_);_(@_)</c:formatCode>
                <c:ptCount val="3"/>
                <c:pt idx="0">
                  <c:v>321628.61</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781-4B30-955C-7B030E93B55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781-4B30-955C-7B030E93B55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781-4B30-955C-7B030E93B55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781-4B30-955C-7B030E93B55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Silver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781-4B30-955C-7B030E93B557}"/>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4FC6-4A88-9115-CF1396BBD8B8}"/>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4FC6-4A88-9115-CF1396BBD8B8}"/>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4FC6-4A88-9115-CF1396BBD8B8}"/>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Recap'!$A$2:$C$2</c:f>
              <c:numCache>
                <c:formatCode>_("$"* #,##0.00_);_("$"* \(#,##0.00\);_("$"* "-"??_);_(@_)</c:formatCode>
                <c:ptCount val="3"/>
                <c:pt idx="0">
                  <c:v>321628.61</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4FC6-4A88-9115-CF1396BBD8B8}"/>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4FC6-4A88-9115-CF1396BBD8B8}"/>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4FC6-4A88-9115-CF1396BBD8B8}"/>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4FC6-4A88-9115-CF1396BBD8B8}"/>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4FC6-4A88-9115-CF1396BBD8B8}"/>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BCB5-4A1D-90E9-5EE89DEFDC0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CB5-4A1D-90E9-5EE89DEFDC0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CB5-4A1D-90E9-5EE89DEFDC06}"/>
              </c:ext>
            </c:extLst>
          </c:dPt>
          <c:dLbls>
            <c:dLbl>
              <c:idx val="0"/>
              <c:layout>
                <c:manualLayout>
                  <c:x val="-0.13278275218247354"/>
                  <c:y val="0.212230612382388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CB5-4A1D-90E9-5EE89DEFDC06}"/>
                </c:ext>
              </c:extLst>
            </c:dLbl>
            <c:dLbl>
              <c:idx val="1"/>
              <c:layout>
                <c:manualLayout>
                  <c:x val="-6.5382281945541659E-2"/>
                  <c:y val="-0.266385442934749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B5-4A1D-90E9-5EE89DEFDC06}"/>
                </c:ext>
              </c:extLst>
            </c:dLbl>
            <c:dLbl>
              <c:idx val="2"/>
              <c:layout>
                <c:manualLayout>
                  <c:x val="0.14030975477257585"/>
                  <c:y val="3.773178954789540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CB5-4A1D-90E9-5EE89DEFDC06}"/>
                </c:ext>
              </c:extLst>
            </c:dLbl>
            <c:spPr>
              <a:noFill/>
              <a:ln>
                <a:noFill/>
              </a:ln>
              <a:effectLst/>
            </c:spPr>
            <c:txPr>
              <a:bodyPr wrap="square" lIns="38100" tIns="19050" rIns="38100" bIns="19050" anchor="ctr">
                <a:spAutoFit/>
              </a:bodyPr>
              <a:lstStyle/>
              <a:p>
                <a:pPr>
                  <a:defRPr sz="3600"/>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val>
            <c:numRef>
              <c:f>'Joint NP Asset Alloc '!$A$2:$C$2</c:f>
              <c:numCache>
                <c:formatCode>_("$"* #,##0.00_);_("$"* \(#,##0.00\);_("$"* "-"??_);_(@_)</c:formatCode>
                <c:ptCount val="3"/>
                <c:pt idx="0">
                  <c:v>100000</c:v>
                </c:pt>
                <c:pt idx="1">
                  <c:v>0</c:v>
                </c:pt>
                <c:pt idx="2">
                  <c:v>100000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CB5-4A1D-90E9-5EE89DEFDC0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CB5-4A1D-90E9-5EE89DEFDC0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CB5-4A1D-90E9-5EE89DEFDC0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CB5-4A1D-90E9-5EE89DEFDC0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'Joint NP Asset Alloc '!$A$3:$C$3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CB5-4A1D-90E9-5EE89DEFDC06}"/>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421-4517-855A-956E2DEBE22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421-4517-855A-956E2DEBE22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421-4517-855A-956E2DEBE22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'Recap No Hybrid Plan'!$A$2:$C$2</c:f>
              <c:numCache>
                <c:formatCode>_("$"* #,##0.00_);_("$"* \(#,##0.00\);_("$"* "-"??_);_(@_)</c:formatCode>
                <c:ptCount val="3"/>
                <c:pt idx="0">
                  <c:v>321628.61</c:v>
                </c:pt>
                <c:pt idx="1">
                  <c:v>0</c:v>
                </c:pt>
                <c:pt idx="2">
                  <c:v>1946235.01</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421-4517-855A-956E2DEBE22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421-4517-855A-956E2DEBE22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421-4517-855A-956E2DEBE22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421-4517-855A-956E2DEBE22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'Recap No Hybrid Plan'!$A$3:$C$3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421-4517-855A-956E2DEBE226}"/>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295A-48A1-89AB-16C5EC51A1DC}"/>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295A-48A1-89AB-16C5EC51A1DC}"/>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295A-48A1-89AB-16C5EC51A1DC}"/>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B No Cost Recap'!$A$2:$C$2</c:f>
              <c:numCache>
                <c:formatCode>_("$"* #,##0.00_);_("$"* \(#,##0.00\);_("$"* "-"??_);_(@_)</c:formatCode>
                <c:ptCount val="3"/>
                <c:pt idx="0">
                  <c:v>39000</c:v>
                </c:pt>
                <c:pt idx="1">
                  <c:v>578000</c:v>
                </c:pt>
                <c:pt idx="2">
                  <c:v>162420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295A-48A1-89AB-16C5EC51A1DC}"/>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295A-48A1-89AB-16C5EC51A1DC}"/>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295A-48A1-89AB-16C5EC51A1DC}"/>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295A-48A1-89AB-16C5EC51A1DC}"/>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B No Cost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295A-48A1-89AB-16C5EC51A1DC}"/>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b="0" i="0" u="none">
                <a:solidFill>
                  <a:schemeClr val="tx1">
                    <a:lumMod val="65000"/>
                    <a:lumOff val="35000"/>
                  </a:schemeClr>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c:spPr>
          <c:explosion val="1"/>
          <c:dPt>
            <c:idx val="0"/>
            <c:bubble3D val="0"/>
            <c:spPr>
              <a:solidFill>
                <a:srgbClr val="FFFF00"/>
              </a:solidFill>
              <a:ln w="19050">
                <a:solidFill>
                  <a:schemeClr val="lt1"/>
                </a:solidFill>
              </a:ln>
            </c:spPr>
            <c:extLst>
              <c:ext xmlns:c16="http://schemas.microsoft.com/office/drawing/2014/chart" uri="{C3380CC4-5D6E-409C-BE32-E72D297353CC}">
                <c16:uniqueId val="{00000001-F4B7-4197-874B-910B30C8F869}"/>
              </c:ext>
            </c:extLst>
          </c:dPt>
          <c:dPt>
            <c:idx val="1"/>
            <c:bubble3D val="0"/>
            <c:spPr>
              <a:solidFill>
                <a:schemeClr val="accent6">
                  <a:lumMod val="60000"/>
                  <a:lumOff val="40000"/>
                </a:schemeClr>
              </a:solidFill>
              <a:ln w="19050">
                <a:solidFill>
                  <a:schemeClr val="lt1"/>
                </a:solidFill>
              </a:ln>
            </c:spPr>
            <c:extLst>
              <c:ext xmlns:c16="http://schemas.microsoft.com/office/drawing/2014/chart" uri="{C3380CC4-5D6E-409C-BE32-E72D297353CC}">
                <c16:uniqueId val="{00000003-F4B7-4197-874B-910B30C8F869}"/>
              </c:ext>
            </c:extLst>
          </c:dPt>
          <c:dPt>
            <c:idx val="2"/>
            <c:bubble3D val="0"/>
            <c:spPr>
              <a:solidFill>
                <a:srgbClr val="FF0000"/>
              </a:solidFill>
              <a:ln w="19050">
                <a:solidFill>
                  <a:schemeClr val="lt1"/>
                </a:solidFill>
              </a:ln>
            </c:spPr>
            <c:extLst>
              <c:ext xmlns:c16="http://schemas.microsoft.com/office/drawing/2014/chart" uri="{C3380CC4-5D6E-409C-BE32-E72D297353CC}">
                <c16:uniqueId val="{00000005-F4B7-4197-874B-910B30C8F86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25000</c:v>
              </c:pt>
              <c:pt idx="1">
                <c:v>382900</c:v>
              </c:pt>
              <c:pt idx="2">
                <c:v>112135</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F4B7-4197-874B-910B30C8F869}"/>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F4B7-4197-874B-910B30C8F869}"/>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F4B7-4197-874B-910B30C8F869}"/>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F4B7-4197-874B-910B30C8F86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F4B7-4197-874B-910B30C8F869}"/>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b="0" i="0" u="none">
                <a:solidFill>
                  <a:sysClr val="windowText" lastClr="000000"/>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A897-4364-8EFE-06A7F1C3FC5E}"/>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A897-4364-8EFE-06A7F1C3FC5E}"/>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A897-4364-8EFE-06A7F1C3FC5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90000</c:v>
              </c:pt>
              <c:pt idx="1">
                <c:v>761000</c:v>
              </c:pt>
              <c:pt idx="2">
                <c:v>476000</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A897-4364-8EFE-06A7F1C3FC5E}"/>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A897-4364-8EFE-06A7F1C3FC5E}"/>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A897-4364-8EFE-06A7F1C3FC5E}"/>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A897-4364-8EFE-06A7F1C3FC5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A897-4364-8EFE-06A7F1C3FC5E}"/>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b="0" i="0" u="none">
                <a:solidFill>
                  <a:schemeClr val="bg1"/>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EBD-4BFA-8CD0-3FAC4220C692}"/>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EBD-4BFA-8CD0-3FAC4220C692}"/>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EBD-4BFA-8CD0-3FAC4220C69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'[15]New ABC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EBD-4BFA-8CD0-3FAC4220C692}"/>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EBD-4BFA-8CD0-3FAC4220C692}"/>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EBD-4BFA-8CD0-3FAC4220C692}"/>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EBD-4BFA-8CD0-3FAC4220C69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'[15]New ABC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EBD-4BFA-8CD0-3FAC4220C692}"/>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b="0" i="0" u="none">
                <a:solidFill>
                  <a:schemeClr val="bg1"/>
                </a:solidFill>
                <a:latin typeface="+mn-lt"/>
                <a:ea typeface="+mn-lt"/>
                <a:cs typeface="+mn-lt"/>
              </a:rPr>
              <a:t>Your Current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ECCF-4A7F-9318-E163B6E660DD}"/>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ECCF-4A7F-9318-E163B6E660DD}"/>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ECCF-4A7F-9318-E163B6E660D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'[16]MRI -ABC Current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ECCF-4A7F-9318-E163B6E660DD}"/>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ECCF-4A7F-9318-E163B6E660DD}"/>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ECCF-4A7F-9318-E163B6E660DD}"/>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ECCF-4A7F-9318-E163B6E660D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'[16]MRI -ABC Current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ECCF-4A7F-9318-E163B6E660DD}"/>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EC49-4725-BF52-2518DE3F85A9}"/>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EC49-4725-BF52-2518DE3F85A9}"/>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EC49-4725-BF52-2518DE3F85A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44000</c:v>
              </c:pt>
              <c:pt idx="1">
                <c:v>204000</c:v>
              </c:pt>
              <c:pt idx="2">
                <c:v>40610</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EC49-4725-BF52-2518DE3F85A9}"/>
            </c:ext>
          </c:extLst>
        </c:ser>
        <c:ser>
          <c:idx val="1"/>
          <c:order val="1"/>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08-EC49-4725-BF52-2518DE3F85A9}"/>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0A-EC49-4725-BF52-2518DE3F85A9}"/>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0C-EC49-4725-BF52-2518DE3F85A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EC49-4725-BF52-2518DE3F85A9}"/>
            </c:ext>
          </c:extLst>
        </c:ser>
        <c:ser>
          <c:idx val="2"/>
          <c:order val="2"/>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0F-EC49-4725-BF52-2518DE3F85A9}"/>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1-EC49-4725-BF52-2518DE3F85A9}"/>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13-EC49-4725-BF52-2518DE3F85A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14-EC49-4725-BF52-2518DE3F85A9}"/>
            </c:ext>
          </c:extLst>
        </c:ser>
        <c:ser>
          <c:idx val="3"/>
          <c:order val="3"/>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16-EC49-4725-BF52-2518DE3F85A9}"/>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8-EC49-4725-BF52-2518DE3F85A9}"/>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1A-EC49-4725-BF52-2518DE3F85A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1B-EC49-4725-BF52-2518DE3F85A9}"/>
            </c:ext>
          </c:extLst>
        </c:ser>
        <c:ser>
          <c:idx val="4"/>
          <c:order val="4"/>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1D-EC49-4725-BF52-2518DE3F85A9}"/>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F-EC49-4725-BF52-2518DE3F85A9}"/>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21-EC49-4725-BF52-2518DE3F85A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22-EC49-4725-BF52-2518DE3F85A9}"/>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875-46B6-9FD1-7140FD10926E}"/>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875-46B6-9FD1-7140FD10926E}"/>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875-46B6-9FD1-7140FD10926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'Age 63 B No Inflation Plan  (2'!$A$2:$C$2</c:f>
              <c:numCache>
                <c:formatCode>_("$"* #,##0.00_);_("$"* \(#,##0.00\);_("$"* "-"??_);_(@_)</c:formatCode>
                <c:ptCount val="3"/>
                <c:pt idx="0">
                  <c:v>39000</c:v>
                </c:pt>
                <c:pt idx="1">
                  <c:v>525500</c:v>
                </c:pt>
                <c:pt idx="2">
                  <c:v>214920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875-46B6-9FD1-7140FD10926E}"/>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875-46B6-9FD1-7140FD10926E}"/>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875-46B6-9FD1-7140FD10926E}"/>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875-46B6-9FD1-7140FD10926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'Age 63 B No Inflation Plan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875-46B6-9FD1-7140FD10926E}"/>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7F23-4BB9-992A-9742740FD49E}"/>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7F23-4BB9-992A-9742740FD49E}"/>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7F23-4BB9-992A-9742740FD49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Results (2)'!$A$2:$C$2</c:f>
              <c:numCache>
                <c:formatCode>_("$"* #,##0.00_);_("$"* \(#,##0.00\);_("$"* "-"??_);_(@_)</c:formatCode>
                <c:ptCount val="3"/>
                <c:pt idx="0" formatCode="&quot;$&quot;#,##0.00">
                  <c:v>39000</c:v>
                </c:pt>
                <c:pt idx="1">
                  <c:v>0</c:v>
                </c:pt>
                <c:pt idx="2" formatCode="&quot;$&quot;#,##0.00_);[Red]\(&quot;$&quot;#,##0.00\)">
                  <c:v>740420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7F23-4BB9-992A-9742740FD49E}"/>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7F23-4BB9-992A-9742740FD49E}"/>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7F23-4BB9-992A-9742740FD49E}"/>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7F23-4BB9-992A-9742740FD49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Results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7F23-4BB9-992A-9742740FD49E}"/>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4AF9-4687-9CAD-6E8B2670CF8A}"/>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4AF9-4687-9CAD-6E8B2670CF8A}"/>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4AF9-4687-9CAD-6E8B2670CF8A}"/>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'[17]Age 63 B No Inflation Plan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4AF9-4687-9CAD-6E8B2670CF8A}"/>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4AF9-4687-9CAD-6E8B2670CF8A}"/>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4AF9-4687-9CAD-6E8B2670CF8A}"/>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4AF9-4687-9CAD-6E8B2670CF8A}"/>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'[17]Age 63 B No Inflation Plan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4AF9-4687-9CAD-6E8B2670CF8A}"/>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E04F-4DFB-ABFA-B01C9889D815}"/>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E04F-4DFB-ABFA-B01C9889D815}"/>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E04F-4DFB-ABFA-B01C9889D815}"/>
              </c:ext>
            </c:extLst>
          </c:dPt>
          <c:dLbls>
            <c:dLbl>
              <c:idx val="0"/>
              <c:layout>
                <c:manualLayout>
                  <c:x val="-0.16982062767974546"/>
                  <c:y val="-0.34398606820810956"/>
                </c:manualLayout>
              </c:layout>
              <c:spPr>
                <a:noFill/>
                <a:ln>
                  <a:noFill/>
                </a:ln>
                <a:effectLst/>
              </c:spPr>
              <c:txPr>
                <a:bodyPr wrap="square" lIns="38100" tIns="19050" rIns="38100" bIns="19050" anchor="ctr">
                  <a:spAutoFit/>
                </a:bodyPr>
                <a:lstStyle/>
                <a:p>
                  <a:pPr>
                    <a:defRPr sz="3600">
                      <a:solidFill>
                        <a:schemeClr val="tx1"/>
                      </a:solidFil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4F-4DFB-ABFA-B01C9889D815}"/>
                </c:ext>
              </c:extLst>
            </c:dLbl>
            <c:dLbl>
              <c:idx val="2"/>
              <c:layout>
                <c:manualLayout>
                  <c:x val="0.12884327433111875"/>
                  <c:y val="3.8067894780459618E-2"/>
                </c:manualLayout>
              </c:layout>
              <c:spPr>
                <a:noFill/>
                <a:ln>
                  <a:noFill/>
                </a:ln>
                <a:effectLst/>
              </c:spPr>
              <c:txPr>
                <a:bodyPr wrap="square" lIns="38100" tIns="19050" rIns="38100" bIns="19050" anchor="ctr">
                  <a:spAutoFit/>
                </a:bodyPr>
                <a:lstStyle/>
                <a:p>
                  <a:pPr>
                    <a:defRPr sz="3600"/>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4F-4DFB-ABFA-B01C9889D815}"/>
                </c:ext>
              </c:extLst>
            </c:dLbl>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NP Asset Alloc'!$A$2:$C$2</c:f>
              <c:numCache>
                <c:formatCode>_("$"* #,##0.00_);_("$"* \(#,##0.00\);_("$"* "-"??_);_(@_)</c:formatCode>
                <c:ptCount val="3"/>
                <c:pt idx="0">
                  <c:v>321628.61</c:v>
                </c:pt>
                <c:pt idx="1">
                  <c:v>0</c:v>
                </c:pt>
                <c:pt idx="2">
                  <c:v>188000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E04F-4DFB-ABFA-B01C9889D815}"/>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E04F-4DFB-ABFA-B01C9889D815}"/>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E04F-4DFB-ABFA-B01C9889D815}"/>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E04F-4DFB-ABFA-B01C9889D815}"/>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NP Asset Alloc'!$A$3:$C$3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E04F-4DFB-ABFA-B01C9889D815}"/>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CC6-4A9A-B8E1-C6FFAB642183}"/>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CC6-4A9A-B8E1-C6FFAB642183}"/>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CC6-4A9A-B8E1-C6FFAB64218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'[18]With Inflation Adj Recap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CC6-4A9A-B8E1-C6FFAB642183}"/>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CC6-4A9A-B8E1-C6FFAB642183}"/>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CC6-4A9A-B8E1-C6FFAB642183}"/>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CC6-4A9A-B8E1-C6FFAB64218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'[18]With Inflation Adj Recap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CC6-4A9A-B8E1-C6FFAB642183}"/>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b="0" i="0" u="none">
                <a:solidFill>
                  <a:schemeClr val="bg1"/>
                </a:solidFill>
                <a:latin typeface="+mn-lt"/>
                <a:ea typeface="+mn-lt"/>
                <a:cs typeface="+mn-lt"/>
              </a:rPr>
              <a:t>Your Current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A863-424B-9577-21AA3ED43768}"/>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A863-424B-9577-21AA3ED43768}"/>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A863-424B-9577-21AA3ED43768}"/>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'ABC Current Allocation'!$A$2:$C$2</c:f>
              <c:numCache>
                <c:formatCode>"$"#,##0_);[Red]\("$"#,##0\)</c:formatCode>
                <c:ptCount val="3"/>
                <c:pt idx="0">
                  <c:v>90000</c:v>
                </c:pt>
                <c:pt idx="1">
                  <c:v>61000</c:v>
                </c:pt>
                <c:pt idx="2">
                  <c:v>1115000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A863-424B-9577-21AA3ED43768}"/>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A863-424B-9577-21AA3ED43768}"/>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A863-424B-9577-21AA3ED43768}"/>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A863-424B-9577-21AA3ED43768}"/>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'ABC Current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A863-424B-9577-21AA3ED43768}"/>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4C0C-49F3-ADEA-2077F3778162}"/>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4C0C-49F3-ADEA-2077F3778162}"/>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4C0C-49F3-ADEA-2077F377816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Inflation Recap'!$A$2:$C$2</c:f>
              <c:numCache>
                <c:formatCode>_("$"* #,##0.00_);_("$"* \(#,##0.00\);_("$"* "-"??_);_(@_)</c:formatCode>
                <c:ptCount val="3"/>
                <c:pt idx="0">
                  <c:v>39000</c:v>
                </c:pt>
                <c:pt idx="1">
                  <c:v>525000</c:v>
                </c:pt>
                <c:pt idx="2">
                  <c:v>214920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4C0C-49F3-ADEA-2077F3778162}"/>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4C0C-49F3-ADEA-2077F3778162}"/>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4C0C-49F3-ADEA-2077F3778162}"/>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4C0C-49F3-ADEA-2077F377816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Inflation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4C0C-49F3-ADEA-2077F3778162}"/>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BBD1-4943-8965-E45B401FC3F8}"/>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BD1-4943-8965-E45B401FC3F8}"/>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BD1-4943-8965-E45B401FC3F8}"/>
              </c:ext>
            </c:extLst>
          </c:dPt>
          <c:dLbls>
            <c:dLbl>
              <c:idx val="0"/>
              <c:layout>
                <c:manualLayout>
                  <c:x val="-0.15044330973793091"/>
                  <c:y val="0.154351130652553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D1-4943-8965-E45B401FC3F8}"/>
                </c:ext>
              </c:extLst>
            </c:dLbl>
            <c:dLbl>
              <c:idx val="1"/>
              <c:layout>
                <c:manualLayout>
                  <c:x val="-7.8304906702658369E-2"/>
                  <c:y val="-0.2677404999415345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D1-4943-8965-E45B401FC3F8}"/>
                </c:ext>
              </c:extLst>
            </c:dLbl>
            <c:dLbl>
              <c:idx val="2"/>
              <c:layout>
                <c:manualLayout>
                  <c:x val="0.17029517296266891"/>
                  <c:y val="4.61497417873153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D1-4943-8965-E45B401FC3F8}"/>
                </c:ext>
              </c:extLst>
            </c:dLbl>
            <c:spPr>
              <a:noFill/>
              <a:ln>
                <a:noFill/>
              </a:ln>
              <a:effectLst/>
            </c:spPr>
            <c:txPr>
              <a:bodyPr wrap="square" lIns="38100" tIns="19050" rIns="38100" bIns="19050" anchor="ctr">
                <a:spAutoFit/>
              </a:bodyPr>
              <a:lstStyle/>
              <a:p>
                <a:pPr>
                  <a:defRPr sz="3600"/>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val>
            <c:numRef>
              <c:f>'Single Gold Asset Alloc'!$A$2:$C$2</c:f>
              <c:numCache>
                <c:formatCode>_("$"* #,##0.00_);_("$"* \(#,##0.00\);_("$"* "-"??_);_(@_)</c:formatCode>
                <c:ptCount val="3"/>
                <c:pt idx="0">
                  <c:v>146628</c:v>
                </c:pt>
                <c:pt idx="1">
                  <c:v>175000</c:v>
                </c:pt>
                <c:pt idx="2">
                  <c:v>188000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BD1-4943-8965-E45B401FC3F8}"/>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BD1-4943-8965-E45B401FC3F8}"/>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BD1-4943-8965-E45B401FC3F8}"/>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BD1-4943-8965-E45B401FC3F8}"/>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Gold Asset Alloc'!$A$3:$C$3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BD1-4943-8965-E45B401FC3F8}"/>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4019-4C3D-A39C-68E66DD6823F}"/>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4019-4C3D-A39C-68E66DD6823F}"/>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4019-4C3D-A39C-68E66DD6823F}"/>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Delivery Allocation'!$A$2:$C$2</c:f>
              <c:numCache>
                <c:formatCode>_("$"* #,##0.00_);_("$"* \(#,##0.00\);_("$"* "-"??_);_(@_)</c:formatCode>
                <c:ptCount val="3"/>
                <c:pt idx="0">
                  <c:v>0</c:v>
                </c:pt>
                <c:pt idx="1">
                  <c:v>428939.45</c:v>
                </c:pt>
                <c:pt idx="2">
                  <c:v>499060.55</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4019-4C3D-A39C-68E66DD6823F}"/>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4019-4C3D-A39C-68E66DD6823F}"/>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4019-4C3D-A39C-68E66DD6823F}"/>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4019-4C3D-A39C-68E66DD6823F}"/>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Delivery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4019-4C3D-A39C-68E66DD6823F}"/>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D5BC-4079-8A6A-087D8FEFF799}"/>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D5BC-4079-8A6A-087D8FEFF799}"/>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D5BC-4079-8A6A-087D8FEFF799}"/>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'[4]Stem Gold Plan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D5BC-4079-8A6A-087D8FEFF799}"/>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D5BC-4079-8A6A-087D8FEFF799}"/>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D5BC-4079-8A6A-087D8FEFF799}"/>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D5BC-4079-8A6A-087D8FEFF799}"/>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'[4]Stem Gold Plan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D5BC-4079-8A6A-087D8FEFF799}"/>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FE9A-4589-99FF-25431644DBAA}"/>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FE9A-4589-99FF-25431644DBAA}"/>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FE9A-4589-99FF-25431644DBA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Silver Plan Allocation'!$A$2:$C$2</c:f>
              <c:numCache>
                <c:formatCode>_("$"* #,##0.00_);_("$"* \(#,##0.00\);_("$"* "-"??_);_(@_)</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FE9A-4589-99FF-25431644DBAA}"/>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FE9A-4589-99FF-25431644DBAA}"/>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FE9A-4589-99FF-25431644DBAA}"/>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FE9A-4589-99FF-25431644DBA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Silver Plan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FE9A-4589-99FF-25431644DBAA}"/>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FA4B-498A-8E11-0C6ED560B93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FA4B-498A-8E11-0C6ED560B93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FA4B-498A-8E11-0C6ED560B93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'B Allocation'!$A$2:$C$2</c:f>
              <c:numCache>
                <c:formatCode>_("$"* #,##0.00_);_("$"* \(#,##0.00\);_("$"* "-"??_);_(@_)</c:formatCode>
                <c:ptCount val="3"/>
                <c:pt idx="0">
                  <c:v>321628.61</c:v>
                </c:pt>
                <c:pt idx="1">
                  <c:v>164000</c:v>
                </c:pt>
                <c:pt idx="2">
                  <c:v>11000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FA4B-498A-8E11-0C6ED560B93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FA4B-498A-8E11-0C6ED560B93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FA4B-498A-8E11-0C6ED560B93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FA4B-498A-8E11-0C6ED560B93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'B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FA4B-498A-8E11-0C6ED560B937}"/>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4C24-4665-A7C5-402C1D6E295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4C24-4665-A7C5-402C1D6E295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4C24-4665-A7C5-402C1D6E295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'Platinum Plan Allocation'!$A$2:$C$2</c:f>
              <c:numCache>
                <c:formatCode>_("$"* #,##0.00_);_("$"* \(#,##0.00\);_("$"* "-"??_);_(@_)</c:formatCode>
                <c:ptCount val="3"/>
                <c:pt idx="0">
                  <c:v>321628.61</c:v>
                </c:pt>
                <c:pt idx="1">
                  <c:v>173000</c:v>
                </c:pt>
                <c:pt idx="2">
                  <c:v>4000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4C24-4665-A7C5-402C1D6E295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4C24-4665-A7C5-402C1D6E295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4C24-4665-A7C5-402C1D6E295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4C24-4665-A7C5-402C1D6E295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'Platinum Plan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4C24-4665-A7C5-402C1D6E2956}"/>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4.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21.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0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chart" Target="../charts/chart23.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0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1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chart" Target="../charts/chart26.xml"/></Relationships>
</file>

<file path=xl/drawings/_rels/drawing11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27.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1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29.xml"/></Relationships>
</file>

<file path=xl/drawings/_rels/drawing1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30.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g"/></Relationships>
</file>

<file path=xl/drawings/_rels/drawing2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g"/></Relationships>
</file>

<file path=xl/drawings/_rels/drawing3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g"/></Relationships>
</file>

<file path=xl/drawings/_rels/drawing3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4.xml.rels><?xml version="1.0" encoding="UTF-8" standalone="yes"?>
<Relationships xmlns="http://schemas.openxmlformats.org/package/2006/relationships"><Relationship Id="rId1" Type="http://schemas.openxmlformats.org/officeDocument/2006/relationships/image" Target="../media/image6.jp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g"/></Relationships>
</file>

<file path=xl/drawings/_rels/drawing4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7.xml.rels><?xml version="1.0" encoding="UTF-8" standalone="yes"?>
<Relationships xmlns="http://schemas.openxmlformats.org/package/2006/relationships"><Relationship Id="rId1" Type="http://schemas.openxmlformats.org/officeDocument/2006/relationships/image" Target="../media/image6.jp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g"/></Relationships>
</file>

<file path=xl/drawings/_rels/drawing5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chart" Target="../charts/chart1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7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7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8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4.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3.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662940</xdr:colOff>
      <xdr:row>27</xdr:row>
      <xdr:rowOff>160020</xdr:rowOff>
    </xdr:from>
    <xdr:ext cx="1028700" cy="264560"/>
    <xdr:sp macro="" textlink="">
      <xdr:nvSpPr>
        <xdr:cNvPr id="2" name="TextBox 1">
          <a:extLst>
            <a:ext uri="{FF2B5EF4-FFF2-40B4-BE49-F238E27FC236}">
              <a16:creationId xmlns:a16="http://schemas.microsoft.com/office/drawing/2014/main" id="{00000000-0008-0000-0000-000002000000}"/>
            </a:ext>
          </a:extLst>
        </xdr:cNvPr>
        <xdr:cNvSpPr>
          <a:spLocks noGrp="1"/>
        </xdr:cNvSpPr>
      </xdr:nvSpPr>
      <xdr:spPr>
        <a:xfrm>
          <a:off x="662940" y="5913120"/>
          <a:ext cx="102870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spAutoFit/>
        </a:bodyPr>
        <a:lstStyle/>
        <a:p>
          <a:endParaRPr/>
        </a:p>
      </xdr:txBody>
    </xdr:sp>
    <xdr:clientData/>
  </xdr:oneCellAnchor>
  <xdr:oneCellAnchor>
    <xdr:from>
      <xdr:col>0</xdr:col>
      <xdr:colOff>91440</xdr:colOff>
      <xdr:row>29</xdr:row>
      <xdr:rowOff>83820</xdr:rowOff>
    </xdr:from>
    <xdr:ext cx="3383280" cy="822960"/>
    <xdr:sp macro="" textlink="">
      <xdr:nvSpPr>
        <xdr:cNvPr id="3" name="TextBox 3">
          <a:extLst>
            <a:ext uri="{FF2B5EF4-FFF2-40B4-BE49-F238E27FC236}">
              <a16:creationId xmlns:a16="http://schemas.microsoft.com/office/drawing/2014/main" id="{00000000-0008-0000-0000-000003000000}"/>
            </a:ext>
          </a:extLst>
        </xdr:cNvPr>
        <xdr:cNvSpPr>
          <a:spLocks noGrp="1"/>
        </xdr:cNvSpPr>
      </xdr:nvSpPr>
      <xdr:spPr>
        <a:xfrm>
          <a:off x="91440" y="6461760"/>
          <a:ext cx="3383280" cy="8229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1400" b="1">
              <a:solidFill>
                <a:sysClr val="windowText" lastClr="000000"/>
              </a:solidFill>
            </a:rPr>
            <a:t>John T. Davis - John@AmercaPlanning.com</a:t>
          </a:r>
          <a:endParaRPr/>
        </a:p>
        <a:p>
          <a:pPr algn="ctr">
            <a:buNone/>
          </a:pPr>
          <a:r>
            <a:rPr sz="1400" b="1">
              <a:solidFill>
                <a:sysClr val="windowText" lastClr="000000"/>
              </a:solidFill>
            </a:rPr>
            <a:t>(847) 592-5405</a:t>
          </a:r>
          <a:endParaRPr/>
        </a:p>
        <a:p>
          <a:pPr algn="ctr">
            <a:buNone/>
          </a:pPr>
          <a:r>
            <a:rPr sz="1200" b="1">
              <a:solidFill>
                <a:sysClr val="windowText" lastClr="000000"/>
              </a:solidFill>
            </a:rPr>
            <a:t>www.AmericaUnitedWealthPlanning.com</a:t>
          </a:r>
          <a:endParaRPr/>
        </a:p>
      </xdr:txBody>
    </xdr:sp>
    <xdr:clientData/>
  </xdr:oneCellAnchor>
  <xdr:oneCellAnchor>
    <xdr:from>
      <xdr:col>0</xdr:col>
      <xdr:colOff>0</xdr:colOff>
      <xdr:row>32</xdr:row>
      <xdr:rowOff>228600</xdr:rowOff>
    </xdr:from>
    <xdr:ext cx="9921240" cy="418225"/>
    <xdr:sp macro="" textlink="">
      <xdr:nvSpPr>
        <xdr:cNvPr id="4" name="TextBox 4">
          <a:extLst>
            <a:ext uri="{FF2B5EF4-FFF2-40B4-BE49-F238E27FC236}">
              <a16:creationId xmlns:a16="http://schemas.microsoft.com/office/drawing/2014/main" id="{00000000-0008-0000-0000-000004000000}"/>
            </a:ext>
          </a:extLst>
        </xdr:cNvPr>
        <xdr:cNvSpPr>
          <a:spLocks noGrp="1"/>
        </xdr:cNvSpPr>
      </xdr:nvSpPr>
      <xdr:spPr>
        <a:xfrm>
          <a:off x="0" y="7170420"/>
          <a:ext cx="9921240" cy="418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900">
              <a:solidFill>
                <a:sysClr val="windowText" lastClr="000000"/>
              </a:solidFill>
            </a:rPr>
            <a:t>© Copyright 2019 America United Wealth Planning, all rights reserved</a:t>
          </a:r>
          <a:endParaRPr/>
        </a:p>
        <a:p>
          <a:pPr algn="ctr">
            <a:buNone/>
          </a:pPr>
          <a:r>
            <a:rPr sz="900">
              <a:solidFill>
                <a:sysClr val="windowText" lastClr="000000"/>
              </a:solidFill>
            </a:rPr>
            <a:t>This illustration offers no guarantees. It is based on information provided by Client used to estimate future income for analysis purposes only and is not guaranteed.</a:t>
          </a:r>
          <a:endParaRPr/>
        </a:p>
        <a:p>
          <a:endParaRPr/>
        </a:p>
      </xdr:txBody>
    </xdr:sp>
    <xdr:clientData/>
  </xdr:oneCellAnchor>
  <xdr:twoCellAnchor editAs="oneCell">
    <xdr:from>
      <xdr:col>0</xdr:col>
      <xdr:colOff>0</xdr:colOff>
      <xdr:row>26</xdr:row>
      <xdr:rowOff>53340</xdr:rowOff>
    </xdr:from>
    <xdr:to>
      <xdr:col>3</xdr:col>
      <xdr:colOff>609600</xdr:colOff>
      <xdr:row>29</xdr:row>
      <xdr:rowOff>137160</xdr:rowOff>
    </xdr:to>
    <xdr:pic>
      <xdr:nvPicPr>
        <xdr:cNvPr id="5" name="/xl/media/image1.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55</xdr:row>
      <xdr:rowOff>43962</xdr:rowOff>
    </xdr:from>
    <xdr:to>
      <xdr:col>14</xdr:col>
      <xdr:colOff>1949694</xdr:colOff>
      <xdr:row>63</xdr:row>
      <xdr:rowOff>130554</xdr:rowOff>
    </xdr:to>
    <xdr:sp macro="" textlink="">
      <xdr:nvSpPr>
        <xdr:cNvPr id="2" name="Text Box 5">
          <a:extLst>
            <a:ext uri="{FF2B5EF4-FFF2-40B4-BE49-F238E27FC236}">
              <a16:creationId xmlns:a16="http://schemas.microsoft.com/office/drawing/2014/main" id="{00000000-0008-0000-0C00-000002000000}"/>
            </a:ext>
          </a:extLst>
        </xdr:cNvPr>
        <xdr:cNvSpPr>
          <a:spLocks noGrp="1"/>
        </xdr:cNvSpPr>
      </xdr:nvSpPr>
      <xdr:spPr>
        <a:xfrm>
          <a:off x="0" y="10073787"/>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152399</xdr:colOff>
      <xdr:row>0</xdr:row>
      <xdr:rowOff>85723</xdr:rowOff>
    </xdr:from>
    <xdr:ext cx="10982325" cy="7924801"/>
    <xdr:sp macro="" textlink="">
      <xdr:nvSpPr>
        <xdr:cNvPr id="2" name="TextBox 1">
          <a:extLst>
            <a:ext uri="{FF2B5EF4-FFF2-40B4-BE49-F238E27FC236}">
              <a16:creationId xmlns:a16="http://schemas.microsoft.com/office/drawing/2014/main" id="{00000000-0008-0000-6B00-000002000000}"/>
            </a:ext>
          </a:extLst>
        </xdr:cNvPr>
        <xdr:cNvSpPr>
          <a:spLocks noGrp="1"/>
        </xdr:cNvSpPr>
      </xdr:nvSpPr>
      <xdr:spPr>
        <a:xfrm>
          <a:off x="152399" y="85723"/>
          <a:ext cx="10982325" cy="7924801"/>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pPr algn="ctr">
            <a:buNone/>
          </a:pPr>
          <a:r>
            <a:rPr sz="2800"/>
            <a:t>Optional Phase Two, Dividend Paying Stocks</a:t>
          </a:r>
          <a:endParaRPr/>
        </a:p>
        <a:p>
          <a:pPr algn="ctr">
            <a:buNone/>
          </a:pPr>
          <a:endParaRPr/>
        </a:p>
        <a:p>
          <a:pPr algn="l">
            <a:buNone/>
          </a:pPr>
          <a:r>
            <a:rPr sz="1100"/>
            <a:t>1. Archer Daniels Midland (NYSE: ADM) One of the largest agricultural product businesses in the world. People need to eat. The company has a high dividend yield of 3.2%.  It has 41 consecutive years of divendend increases with a long growth runway ahead. Price fluctuates between $37.00 and $47.00 per share. Using a normal company median average P/E ratio of 13.5 implies a fair value of about $47.00 per share.</a:t>
          </a:r>
          <a:endParaRPr/>
        </a:p>
        <a:p>
          <a:pPr algn="l">
            <a:buNone/>
          </a:pPr>
          <a:endParaRPr/>
        </a:p>
        <a:p>
          <a:pPr algn="l">
            <a:buNone/>
          </a:pPr>
          <a:r>
            <a:rPr sz="1100"/>
            <a:t>2. Flowers Foods (NYSE: FLO) Is the second largest baking company in the US. (Grupo Bimbo is the largest) Flower Foods bread and cake brands are better known than the company. Flowers Foods own these brands: TastyKake, Alpine Valley, Nature's Own, Wonder Bread, Dave's Killer Breads. Price fluctuates between $15.64 per share and $27.31 per share. This company has paid steady or increasing dividends for 29 years. The current average dividend yield is 3.3%.  </a:t>
          </a:r>
          <a:endParaRPr/>
        </a:p>
        <a:p>
          <a:pPr algn="l">
            <a:buNone/>
          </a:pPr>
          <a:endParaRPr/>
        </a:p>
        <a:p>
          <a:pPr algn="l">
            <a:buNone/>
          </a:pPr>
          <a:r>
            <a:rPr sz="1100"/>
            <a:t>3. Verizon (NYSE: VZ) is the largest wireless carrier in the US. The company's long term growth is protected by a strong competitive advantage . Verizon and AT&amp;T together control over 80% of the wireless market in the US. Current dividend is about 4.3% dividend yield and has had a compounded earnings yield of 5% over the last decade. The company grew at an adjusted earnings per share of 19.1% in fiscal 2015.  The company's competitive advantage had led to 32 years of dividend payments without reduction. The price of the stock fluctuates between $38.06 and $53.85 per share.</a:t>
          </a:r>
          <a:endParaRPr/>
        </a:p>
        <a:p>
          <a:pPr algn="l">
            <a:buNone/>
          </a:pPr>
          <a:endParaRPr/>
        </a:p>
        <a:p>
          <a:pPr algn="l">
            <a:buNone/>
          </a:pPr>
          <a:r>
            <a:rPr sz="1100"/>
            <a:t>4. AT&amp;T (NYSE: T) Their business model is the same as Verizon's. AT&amp;T is the other large player in the US wireless industry. Like Verizon, AT&amp;T has a high dividend yield  that is even higher than Verizon's. The company has a high 5.0% dividend yield.  I expect the company to compound its earning per share to between 4% and 6% per year over the next serveral years. This growth combined with the company's current 5% dividend yield gives investors expected total returns of between 9% and 11% per year.</a:t>
          </a:r>
          <a:endParaRPr/>
        </a:p>
        <a:p>
          <a:pPr algn="l">
            <a:buNone/>
          </a:pPr>
          <a:endParaRPr/>
        </a:p>
        <a:p>
          <a:pPr algn="l">
            <a:buNone/>
          </a:pPr>
          <a:r>
            <a:rPr sz="1100"/>
            <a:t>5. Consolidated Edison (NYSE: ED) is an electricity and gas utility corporation with operations in New York, New Jersey and Pennsylvania. This company is one of the larger utilities in the US and serves over 3 million customers. This company has paid rising dividends for 42 consecutive years. People are going to need gas and electricity in the next 50 years the same as they have for the past 50 years. The dividends have been coming in at 3.4% per year.  The stock price fluctuates between $56.86 per share and $76.13 per share.</a:t>
          </a:r>
          <a:endParaRPr/>
        </a:p>
        <a:p>
          <a:pPr algn="l">
            <a:buNone/>
          </a:pPr>
          <a:endParaRPr/>
        </a:p>
        <a:p>
          <a:pPr algn="l">
            <a:buNone/>
          </a:pPr>
          <a:r>
            <a:rPr sz="1100"/>
            <a:t>6. SCANA Corporation (NYSE: SCG) This is an electricity and Natural Gas untility with operations in North and South Carolina and Gerogia. This is not a fast growing company in that it is simiilar to Consolidated Edison. The company has managed a compound earnings per share at 3.0% over the last decade and dividends per share of 3.9% over the same period. The stock sells for between $49.89 and $68.66 per share. </a:t>
          </a:r>
          <a:endParaRPr/>
        </a:p>
        <a:p>
          <a:pPr algn="l">
            <a:buNone/>
          </a:pPr>
          <a:endParaRPr/>
        </a:p>
        <a:p>
          <a:pPr algn="l">
            <a:buNone/>
          </a:pPr>
          <a:r>
            <a:rPr sz="1100"/>
            <a:t>7. Emerson Electric (NYSE: EMR) This company manufactures products (electric motors and fans) and provides engineering services for a wide range of industrial, commercial and consumer markets.  Emerson has an enviable dividend record. The company has paid dividends for 50 plus consecutive years.  This company has a competitive advantage that comes from it's large size  global reach. The company has around 230 manufacturing facilities spread throughout the World. Emerson's payout runs around 50% of earnings. The dividends are approximately 4.5% per year and the price per share ranges from $41.25 to $62.75 per share.</a:t>
          </a:r>
          <a:endParaRPr/>
        </a:p>
        <a:p>
          <a:pPr algn="l">
            <a:buNone/>
          </a:pPr>
          <a:endParaRPr/>
        </a:p>
        <a:p>
          <a:pPr algn="l">
            <a:buNone/>
          </a:pPr>
          <a:r>
            <a:rPr sz="1100"/>
            <a:t>8. Johnson Controls (NYSE: JCI) This is a deversified manufacturing company. The company manufactures battery systems, car interiors and components and builds control systems and power solutions. Johnson Controls stock pays out around 3.1% dividend yield. They have compounded earnings per share at round 7.7% over the last decade. The company is expected to enjoy at 8% to 14% earnings per share growth in 2016.  The stock ranges in price from $33.62 per share to $54.52 per share.</a:t>
          </a:r>
          <a:endParaRPr/>
        </a:p>
        <a:p>
          <a:pPr algn="l">
            <a:buNone/>
          </a:pPr>
          <a:endParaRPr/>
        </a:p>
        <a:p>
          <a:pPr algn="l">
            <a:buNone/>
          </a:pPr>
          <a:r>
            <a:rPr sz="1100"/>
            <a:t>9. Cummins (NYSE: CMI) They are the diesel engine industry leader. They hold 78% of market share for mid-duty diesel engines and 34% of heavy duty market share in North America. They hold 42% in India and 17% in China. This company has paid out 25 consecutive years of steady or rising dividend payments. You can expect dividends of about 3.53% . The price of this stock ranges from $79.88 per share to $143.40 per share. </a:t>
          </a:r>
          <a:endParaRPr/>
        </a:p>
        <a:p>
          <a:pPr algn="l">
            <a:buNone/>
          </a:pPr>
          <a:endParaRPr/>
        </a:p>
        <a:p>
          <a:pPr algn="l">
            <a:buNone/>
          </a:pPr>
          <a:r>
            <a:rPr sz="1100"/>
            <a:t>10. Southern Company (NYSE: SO) is an electricity utility that supplies power to over 4.5 million customers in Georgia, Alabama, Mississippi and Florida. This company has paid dividends since 1948 and has not reduced its dividends since 1982.  Dividends have run 3.9% over the last decade.  This stock price ranges from $41.40 to $51.01 per share.</a:t>
          </a:r>
          <a:endParaRPr/>
        </a:p>
        <a:p>
          <a:pPr algn="l">
            <a:buNone/>
          </a:pPr>
          <a:endParaRPr/>
        </a:p>
        <a:p>
          <a:pPr algn="l">
            <a:buNone/>
          </a:pPr>
          <a:endParaRP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219075</xdr:colOff>
      <xdr:row>0</xdr:row>
      <xdr:rowOff>95247</xdr:rowOff>
    </xdr:from>
    <xdr:ext cx="9763125" cy="6724653"/>
    <xdr:sp macro="" textlink="">
      <xdr:nvSpPr>
        <xdr:cNvPr id="2" name="TextBox 1">
          <a:extLst>
            <a:ext uri="{FF2B5EF4-FFF2-40B4-BE49-F238E27FC236}">
              <a16:creationId xmlns:a16="http://schemas.microsoft.com/office/drawing/2014/main" id="{00000000-0008-0000-6C00-000002000000}"/>
            </a:ext>
          </a:extLst>
        </xdr:cNvPr>
        <xdr:cNvSpPr>
          <a:spLocks noGrp="1"/>
        </xdr:cNvSpPr>
      </xdr:nvSpPr>
      <xdr:spPr>
        <a:xfrm>
          <a:off x="219075" y="95247"/>
          <a:ext cx="9763125" cy="6724653"/>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pPr algn="ctr">
            <a:buNone/>
          </a:pPr>
          <a:r>
            <a:rPr sz="2800"/>
            <a:t>Optional Phase Three - Combination Life Insurance Policy </a:t>
          </a:r>
          <a:endParaRPr/>
        </a:p>
        <a:p>
          <a:pPr algn="ctr">
            <a:buNone/>
          </a:pPr>
          <a:r>
            <a:rPr sz="2800"/>
            <a:t>that offers Death and Living Insurance benefits as an Alternative</a:t>
          </a:r>
          <a:endParaRPr/>
        </a:p>
        <a:p>
          <a:pPr algn="ctr">
            <a:buNone/>
          </a:pPr>
          <a:endParaRPr/>
        </a:p>
        <a:p>
          <a:pPr algn="l">
            <a:buNone/>
          </a:pPr>
          <a:r>
            <a:rPr sz="1800"/>
            <a:t>70% of people over age 65 will require long term care assistance within their life time, 40% will need care in a Nursing Home. Medicare does not pay for extended Nursing Home Care or Assistance. If either of you enter a Nursing Home it will be your responsibility to pay the cost.  </a:t>
          </a:r>
          <a:endParaRPr/>
        </a:p>
        <a:p>
          <a:pPr algn="l">
            <a:buNone/>
          </a:pPr>
          <a:endParaRPr/>
        </a:p>
        <a:p>
          <a:pPr algn="l">
            <a:buNone/>
          </a:pPr>
          <a:r>
            <a:rPr sz="1800"/>
            <a:t>The problem is annual expenses for Nursing Home care currently runs from $72,000 to $120,000 per year. This expense would need to be paid from your life savings. This expense could decimate your life savings and threaten your entire retirement lifestyle jointly and could threaten the lifestyle of your spouse if one should die before the other.  </a:t>
          </a:r>
          <a:endParaRPr/>
        </a:p>
        <a:p>
          <a:pPr algn="l">
            <a:buNone/>
          </a:pPr>
          <a:endParaRPr/>
        </a:p>
        <a:p>
          <a:pPr algn="l">
            <a:buNone/>
          </a:pPr>
          <a:r>
            <a:rPr sz="1800"/>
            <a:t>While this is not Long Term Care insurance, it an alternative to your paying the high cost for Long Term Care Insurance. We suggest that you take out a life insurance policy that offers death benefits plus living benefits. A policy that will allow you to accelerate up to 95% of the death benefit for Critical Illiness, Chronic Illiness or Terminal Illness. While not guaranteed, Costs are estimated as follows:</a:t>
          </a:r>
          <a:endParaRPr/>
        </a:p>
        <a:p>
          <a:pPr algn="l">
            <a:buNone/>
          </a:pPr>
          <a:endParaRPr/>
        </a:p>
        <a:p>
          <a:pPr algn="ctr">
            <a:buNone/>
          </a:pPr>
          <a:r>
            <a:rPr sz="2800"/>
            <a:t>Leonard $196.07 for $100,000 Life Insurance for 20 year Term </a:t>
          </a:r>
          <a:endParaRPr/>
        </a:p>
        <a:p>
          <a:pPr algn="ctr">
            <a:buNone/>
          </a:pPr>
          <a:endParaRPr/>
        </a:p>
        <a:p>
          <a:pPr algn="ctr">
            <a:buNone/>
          </a:pPr>
          <a:r>
            <a:rPr sz="2800"/>
            <a:t>Elaine $110.81 for $100,000 Life Insurance for 20 year Term  </a:t>
          </a:r>
          <a:r>
            <a:rPr sz="1800"/>
            <a:t>    </a:t>
          </a:r>
          <a:endParaRPr/>
        </a:p>
        <a:p>
          <a:pPr algn="ctr">
            <a:buNone/>
          </a:pPr>
          <a:endParaRPr/>
        </a:p>
        <a:p>
          <a:pPr algn="l">
            <a:buNone/>
          </a:pPr>
          <a:endParaRPr/>
        </a:p>
        <a:p>
          <a:pPr algn="ctr">
            <a:buNone/>
          </a:pPr>
          <a:endParaRPr/>
        </a:p>
        <a:p>
          <a:pPr algn="l">
            <a:buNone/>
          </a:pPr>
          <a:endParaRPr/>
        </a:p>
      </xdr:txBody>
    </xdr:sp>
    <xdr:clientData/>
  </xdr:oneCellAnchor>
</xdr:wsDr>
</file>

<file path=xl/drawings/drawing102.xml><?xml version="1.0" encoding="utf-8"?>
<xdr:wsDr xmlns:xdr="http://schemas.openxmlformats.org/drawingml/2006/spreadsheetDrawing" xmlns:a="http://schemas.openxmlformats.org/drawingml/2006/main">
  <xdr:twoCellAnchor editAs="oneCell">
    <xdr:from>
      <xdr:col>1</xdr:col>
      <xdr:colOff>142875</xdr:colOff>
      <xdr:row>0</xdr:row>
      <xdr:rowOff>1</xdr:rowOff>
    </xdr:from>
    <xdr:to>
      <xdr:col>16</xdr:col>
      <xdr:colOff>6350</xdr:colOff>
      <xdr:row>93</xdr:row>
      <xdr:rowOff>114301</xdr:rowOff>
    </xdr:to>
    <xdr:sp macro="" textlink="">
      <xdr:nvSpPr>
        <xdr:cNvPr id="2" name="TextBox 1">
          <a:extLst>
            <a:ext uri="{FF2B5EF4-FFF2-40B4-BE49-F238E27FC236}">
              <a16:creationId xmlns:a16="http://schemas.microsoft.com/office/drawing/2014/main" id="{00000000-0008-0000-6D00-000002000000}"/>
            </a:ext>
          </a:extLst>
        </xdr:cNvPr>
        <xdr:cNvSpPr>
          <a:spLocks noGrp="1"/>
        </xdr:cNvSpPr>
      </xdr:nvSpPr>
      <xdr:spPr>
        <a:xfrm>
          <a:off x="752475" y="1"/>
          <a:ext cx="9007475" cy="1586865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ctr"/>
        <a:lstStyle/>
        <a:p>
          <a:pPr algn="ctr">
            <a:buNone/>
          </a:pPr>
          <a:endParaRPr/>
        </a:p>
        <a:p>
          <a:pPr algn="ctr">
            <a:buNone/>
          </a:pPr>
          <a:r>
            <a:rPr sz="2800" b="0">
              <a:solidFill>
                <a:schemeClr val="dk1"/>
              </a:solidFill>
              <a:latin typeface="+mn-lt"/>
              <a:ea typeface="+mn-lt"/>
              <a:cs typeface="+mn-lt"/>
            </a:rPr>
            <a:t>Is Planning Suitable for You?  Issues Retirees face </a:t>
          </a:r>
          <a:endParaRPr/>
        </a:p>
        <a:p>
          <a:pPr marL="0" indent="0" algn="l">
            <a:lnSpc>
              <a:spcPct val="100000"/>
            </a:lnSpc>
            <a:buNone/>
          </a:pPr>
          <a:endParaRPr/>
        </a:p>
        <a:p>
          <a:pPr marL="0" indent="0" algn="l">
            <a:lnSpc>
              <a:spcPct val="100000"/>
            </a:lnSpc>
            <a:buNone/>
          </a:pPr>
          <a:r>
            <a:rPr sz="1400" b="1" i="1">
              <a:solidFill>
                <a:sysClr val="windowText" lastClr="000000"/>
              </a:solidFill>
            </a:rPr>
            <a:t>1. AARP Income Risk Research: </a:t>
          </a:r>
          <a:r>
            <a:rPr sz="1400" b="1">
              <a:solidFill>
                <a:sysClr val="windowText" lastClr="000000"/>
              </a:solidFill>
            </a:rPr>
            <a:t>Alicia Munnell Ph.D, director of the Boston College Center for Retirement Research says that you must ask yourself how much income you will need to be comfortable in retirement. </a:t>
          </a:r>
          <a:r>
            <a:rPr sz="1400" b="0">
              <a:solidFill>
                <a:schemeClr val="accent1">
                  <a:lumMod val="50000"/>
                </a:schemeClr>
              </a:solidFill>
            </a:rPr>
            <a:t>According to Boston College research this is a difficult question to answer because all retirees face these two major issues Inflation and Taxes. The research says that your retirement income should be 70 to 80 percent of your preretirement gross income. In addition to this amount and as a hedge against increasing inflation and taxes, the research suggests that you secure additional income sources of income to adjust for these two unknowns.</a:t>
          </a:r>
          <a:endParaRPr/>
        </a:p>
        <a:p>
          <a:pPr marL="0" indent="0" algn="l">
            <a:lnSpc>
              <a:spcPct val="100000"/>
            </a:lnSpc>
            <a:buNone/>
          </a:pPr>
          <a:endParaRPr/>
        </a:p>
        <a:p>
          <a:pPr marL="0" indent="0" algn="l">
            <a:lnSpc>
              <a:spcPct val="100000"/>
            </a:lnSpc>
            <a:buNone/>
          </a:pPr>
          <a:r>
            <a:rPr sz="1400" b="1"/>
            <a:t>a. What is your vision of Retirement? </a:t>
          </a:r>
          <a:r>
            <a:rPr sz="1400" b="0"/>
            <a:t>Everyone has a vision of Retirement: Where they want to live. Do they want to travel? What kinds of cars they like to drive. Each are important contributors to the quality of your retirement lifestyle. </a:t>
          </a:r>
          <a:endParaRPr/>
        </a:p>
        <a:p>
          <a:pPr marL="0" indent="0" algn="l">
            <a:lnSpc>
              <a:spcPct val="100000"/>
            </a:lnSpc>
            <a:buNone/>
          </a:pPr>
          <a:r>
            <a:rPr sz="1400" b="1"/>
            <a:t>b.</a:t>
          </a:r>
          <a:r>
            <a:rPr sz="1400" b="0"/>
            <a:t> Social Security and Pensions alone may not produce enough income to fully address your Cost of living needs. Your Cost of living will increase due to increasing inflation and taxes over time which could threaten your vision of retirement.</a:t>
          </a:r>
          <a:endParaRPr/>
        </a:p>
        <a:p>
          <a:pPr marL="0" indent="0" algn="l">
            <a:lnSpc>
              <a:spcPct val="100000"/>
            </a:lnSpc>
            <a:buNone/>
          </a:pPr>
          <a:r>
            <a:rPr sz="1400" b="1"/>
            <a:t>c.</a:t>
          </a:r>
          <a:r>
            <a:rPr sz="1400" b="0"/>
            <a:t> B</a:t>
          </a:r>
          <a:r>
            <a:rPr sz="1400" b="0">
              <a:solidFill>
                <a:schemeClr val="dk1"/>
              </a:solidFill>
              <a:latin typeface="+mn-lt"/>
              <a:ea typeface="+mn-lt"/>
              <a:cs typeface="+mn-lt"/>
            </a:rPr>
            <a:t>oth you and/or your Surviving Spouse will need more income in order to maintain his or her standards of living or possibly suffer financial hardship in the event of one passing before the other.</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joint income as well as survivor income to meet and protect your lifestyle/income needs</a:t>
          </a:r>
          <a:endParaRPr/>
        </a:p>
        <a:p>
          <a:pPr algn="l">
            <a:buNone/>
          </a:pPr>
          <a:endParaRPr/>
        </a:p>
        <a:p>
          <a:pPr algn="ctr">
            <a:buNone/>
          </a:pPr>
          <a:r>
            <a:rPr sz="1600" b="1"/>
            <a:t>On a scale of 1 to 10, How Important is it to build a Plan to solve these issues today;</a:t>
          </a:r>
          <a:endParaRPr/>
        </a:p>
        <a:p>
          <a:pPr algn="ctr">
            <a:buNone/>
          </a:pPr>
          <a:r>
            <a:rPr sz="1600" b="1"/>
            <a:t>so that they do not have an adverse effect on your retirement?</a:t>
          </a:r>
          <a:endParaRPr/>
        </a:p>
        <a:p>
          <a:pPr>
            <a:buNone/>
          </a:pPr>
          <a:endParaRPr/>
        </a:p>
        <a:p>
          <a:pPr>
            <a:buNone/>
          </a:pPr>
          <a:r>
            <a:rPr sz="1600" b="1" i="1">
              <a:solidFill>
                <a:schemeClr val="dk1"/>
              </a:solidFill>
              <a:latin typeface="+mn-lt"/>
              <a:ea typeface="+mn-lt"/>
              <a:cs typeface="+mn-lt"/>
            </a:rPr>
            <a:t>2</a:t>
          </a:r>
          <a:r>
            <a:rPr sz="1400" b="1" i="1">
              <a:solidFill>
                <a:schemeClr val="dk1"/>
              </a:solidFill>
              <a:latin typeface="+mn-lt"/>
              <a:ea typeface="+mn-lt"/>
              <a:cs typeface="+mn-lt"/>
            </a:rPr>
            <a:t>. AARP Market Risk Research: </a:t>
          </a:r>
          <a:r>
            <a:rPr sz="1400" b="1">
              <a:solidFill>
                <a:schemeClr val="dk1"/>
              </a:solidFill>
              <a:latin typeface="+mn-lt"/>
              <a:ea typeface="+mn-lt"/>
              <a:cs typeface="+mn-lt"/>
            </a:rPr>
            <a:t>Loss of savings to Generate Income  - </a:t>
          </a:r>
          <a:r>
            <a:rPr sz="1400">
              <a:solidFill>
                <a:schemeClr val="dk1"/>
              </a:solidFill>
              <a:latin typeface="+mn-lt"/>
              <a:ea typeface="+mn-lt"/>
              <a:cs typeface="+mn-lt"/>
            </a:rPr>
            <a:t>No one can predict the direction that the market will take. In falling markets, income withdraws transition from being Accumulation Phase Paper Losses into Distribution Phase Real Losses. Retirees can not afford to lose assets in retirement, </a:t>
          </a:r>
          <a:r>
            <a:rPr sz="1400" b="0">
              <a:solidFill>
                <a:schemeClr val="dk1"/>
              </a:solidFill>
              <a:latin typeface="+mn-lt"/>
              <a:ea typeface="+mn-lt"/>
              <a:cs typeface="+mn-lt"/>
            </a:rPr>
            <a:t>assets must be protected in order to generate lifelong income.   </a:t>
          </a:r>
          <a:endParaRPr/>
        </a:p>
        <a:p>
          <a:pPr>
            <a:buNone/>
          </a:pPr>
          <a:endParaRPr/>
        </a:p>
        <a:p>
          <a:pPr>
            <a:buNone/>
          </a:pPr>
          <a:r>
            <a:rPr sz="1400" b="1">
              <a:solidFill>
                <a:schemeClr val="dk1"/>
              </a:solidFill>
              <a:latin typeface="+mn-lt"/>
              <a:ea typeface="+mn-lt"/>
              <a:cs typeface="+mn-lt"/>
            </a:rPr>
            <a:t>a</a:t>
          </a:r>
          <a:r>
            <a:rPr sz="1400" b="0">
              <a:solidFill>
                <a:schemeClr val="dk1"/>
              </a:solidFill>
              <a:latin typeface="+mn-lt"/>
              <a:ea typeface="+mn-lt"/>
              <a:cs typeface="+mn-lt"/>
            </a:rPr>
            <a:t>. If Your Social Security and Pension income is not enough to cover your long term income needs, than you are market dependent for your future income. AARP research says that retirees should follow Rule 120 to minimize risk. </a:t>
          </a:r>
          <a:endParaRPr/>
        </a:p>
        <a:p>
          <a:pPr>
            <a:buNone/>
          </a:pPr>
          <a:r>
            <a:rPr sz="1400" b="1">
              <a:solidFill>
                <a:schemeClr val="dk1"/>
              </a:solidFill>
              <a:latin typeface="+mn-lt"/>
              <a:ea typeface="+mn-lt"/>
              <a:cs typeface="+mn-lt"/>
            </a:rPr>
            <a:t>b.</a:t>
          </a:r>
          <a:r>
            <a:rPr sz="1400" b="0">
              <a:solidFill>
                <a:schemeClr val="dk1"/>
              </a:solidFill>
              <a:latin typeface="+mn-lt"/>
              <a:ea typeface="+mn-lt"/>
              <a:cs typeface="+mn-lt"/>
            </a:rPr>
            <a:t> </a:t>
          </a:r>
          <a:r>
            <a:rPr sz="1400" b="1">
              <a:solidFill>
                <a:schemeClr val="dk1"/>
              </a:solidFill>
              <a:latin typeface="+mn-lt"/>
              <a:ea typeface="+mn-lt"/>
              <a:cs typeface="+mn-lt"/>
            </a:rPr>
            <a:t>Rule 120:</a:t>
          </a:r>
          <a:r>
            <a:rPr sz="1400" b="0">
              <a:solidFill>
                <a:schemeClr val="dk1"/>
              </a:solidFill>
              <a:latin typeface="+mn-lt"/>
              <a:ea typeface="+mn-lt"/>
              <a:cs typeface="+mn-lt"/>
            </a:rPr>
            <a:t> is subtracting your age from 120 to determine for how much you should hold in market investments. </a:t>
          </a:r>
          <a:endParaRPr/>
        </a:p>
        <a:p>
          <a:pPr>
            <a:buNone/>
          </a:pPr>
          <a:r>
            <a:rPr sz="1100" b="1" i="1">
              <a:solidFill>
                <a:schemeClr val="dk1"/>
              </a:solidFill>
              <a:latin typeface="+mn-lt"/>
              <a:ea typeface="+mn-lt"/>
              <a:cs typeface="+mn-lt"/>
            </a:rPr>
            <a:t>	           </a:t>
          </a:r>
          <a:endParaRPr/>
        </a:p>
        <a:p>
          <a:pPr>
            <a:buNone/>
          </a:pPr>
          <a:r>
            <a:rPr sz="1400" b="1" i="1">
              <a:solidFill>
                <a:schemeClr val="dk1"/>
              </a:solidFill>
              <a:latin typeface="+mn-lt"/>
              <a:ea typeface="+mn-lt"/>
              <a:cs typeface="+mn-lt"/>
            </a:rPr>
            <a:t>                   Based on your current age your market invested assets should be </a:t>
          </a:r>
          <a:r>
            <a:rPr sz="1400" b="1" i="1" u="sng">
              <a:solidFill>
                <a:schemeClr val="dk1"/>
              </a:solidFill>
              <a:latin typeface="+mn-lt"/>
              <a:ea typeface="+mn-lt"/>
              <a:cs typeface="+mn-lt"/>
            </a:rPr>
            <a:t>less than but not more than </a:t>
          </a:r>
          <a:r>
            <a:rPr sz="1400" b="1" i="1">
              <a:solidFill>
                <a:schemeClr val="dk1"/>
              </a:solidFill>
              <a:latin typeface="+mn-lt"/>
              <a:ea typeface="+mn-lt"/>
              <a:cs typeface="+mn-lt"/>
            </a:rPr>
            <a:t>this percent </a:t>
          </a:r>
          <a:endParaRPr/>
        </a:p>
        <a:p>
          <a:pPr>
            <a:buNone/>
          </a:pPr>
          <a:endParaRPr/>
        </a:p>
        <a:p>
          <a:pPr>
            <a:buNone/>
          </a:pPr>
          <a:r>
            <a:rPr sz="1400" b="1">
              <a:solidFill>
                <a:schemeClr val="dk1"/>
              </a:solidFill>
              <a:latin typeface="+mn-lt"/>
              <a:ea typeface="+mn-lt"/>
              <a:cs typeface="+mn-lt"/>
            </a:rPr>
            <a:t>c. Problems if Pre-Retired: </a:t>
          </a:r>
          <a:r>
            <a:rPr sz="1400" b="0">
              <a:solidFill>
                <a:schemeClr val="dk1"/>
              </a:solidFill>
              <a:latin typeface="+mn-lt"/>
              <a:ea typeface="+mn-lt"/>
              <a:cs typeface="+mn-lt"/>
            </a:rPr>
            <a:t>If you lose retirement savings between today and retirement day you may not be able to retire on the day you want to. If working, you could protect savings by moving it to safety via "In Service Distribution"</a:t>
          </a:r>
          <a:endParaRPr/>
        </a:p>
        <a:p>
          <a:pPr>
            <a:buNone/>
          </a:pPr>
          <a:r>
            <a:rPr sz="1400" b="1">
              <a:solidFill>
                <a:schemeClr val="dk1"/>
              </a:solidFill>
              <a:latin typeface="+mn-lt"/>
              <a:ea typeface="+mn-lt"/>
              <a:cs typeface="+mn-lt"/>
            </a:rPr>
            <a:t>d. Problems if Retired: </a:t>
          </a:r>
          <a:r>
            <a:rPr sz="1400" b="0">
              <a:solidFill>
                <a:schemeClr val="dk1"/>
              </a:solidFill>
              <a:latin typeface="+mn-lt"/>
              <a:ea typeface="+mn-lt"/>
              <a:cs typeface="+mn-lt"/>
            </a:rPr>
            <a:t>If you lose your savings during retirement, you may lose your lifestyle and be forced to turn to family for financial help. You may not have enough years of life ahead to wait for the market to come back.</a:t>
          </a:r>
          <a:endParaRPr/>
        </a:p>
        <a:p>
          <a:endParaRPr/>
        </a:p>
        <a:p>
          <a:r>
            <a:rPr sz="1400" b="1" i="1">
              <a:solidFill>
                <a:schemeClr val="dk1"/>
              </a:solidFill>
              <a:latin typeface="+mn-lt"/>
              <a:ea typeface="+mn-lt"/>
              <a:cs typeface="+mn-lt"/>
            </a:rPr>
            <a:t>Planning is designed to: </a:t>
          </a:r>
          <a:r>
            <a:rPr sz="1400" b="0" i="0">
              <a:solidFill>
                <a:schemeClr val="dk1"/>
              </a:solidFill>
              <a:latin typeface="+mn-lt"/>
              <a:ea typeface="+mn-lt"/>
              <a:cs typeface="+mn-lt"/>
            </a:rPr>
            <a:t>Reduce market exposure and protect your assets from market losses and protect future income</a:t>
          </a:r>
          <a:r>
            <a:rPr sz="1400" b="0">
              <a:solidFill>
                <a:schemeClr val="dk1"/>
              </a:solidFill>
              <a:latin typeface="+mn-lt"/>
              <a:ea typeface="+mn-lt"/>
              <a:cs typeface="+mn-lt"/>
            </a:rPr>
            <a:t>.</a:t>
          </a:r>
          <a:endParaRPr/>
        </a:p>
        <a:p>
          <a:endParaRPr/>
        </a:p>
        <a:p>
          <a:pPr algn="ctr">
            <a:buNone/>
          </a:pPr>
          <a:r>
            <a:rPr sz="1600" b="1">
              <a:solidFill>
                <a:schemeClr val="dk1"/>
              </a:solidFill>
              <a:latin typeface="+mn-lt"/>
              <a:ea typeface="+mn-lt"/>
              <a:cs typeface="+mn-lt"/>
            </a:rPr>
            <a:t>On a scale of 1 to 10, How important is it to build a Plan to solve this issue today;</a:t>
          </a:r>
          <a:endParaRPr/>
        </a:p>
        <a:p>
          <a:pPr algn="ctr">
            <a:buNone/>
          </a:pPr>
          <a:r>
            <a:rPr sz="1600" b="1">
              <a:solidFill>
                <a:schemeClr val="dk1"/>
              </a:solidFill>
              <a:latin typeface="+mn-lt"/>
              <a:ea typeface="+mn-lt"/>
              <a:cs typeface="+mn-lt"/>
            </a:rPr>
            <a:t>so that it does not have an adverse effect on your retirement? </a:t>
          </a:r>
          <a:endParaRPr/>
        </a:p>
        <a:p>
          <a:pPr algn="l">
            <a:buNone/>
          </a:pPr>
          <a:endParaRPr/>
        </a:p>
        <a:p>
          <a:pPr algn="l">
            <a:buNone/>
          </a:pPr>
          <a:endParaRPr/>
        </a:p>
        <a:p>
          <a:pPr marL="0" indent="0" algn="l">
            <a:lnSpc>
              <a:spcPct val="100000"/>
            </a:lnSpc>
            <a:buNone/>
          </a:pPr>
          <a:r>
            <a:rPr sz="1400" b="1" i="1">
              <a:solidFill>
                <a:sysClr val="windowText" lastClr="000000"/>
              </a:solidFill>
            </a:rPr>
            <a:t>3. AARP Longevity Risk Research: </a:t>
          </a:r>
          <a:r>
            <a:rPr sz="1400" b="1">
              <a:solidFill>
                <a:sysClr val="windowText" lastClr="000000"/>
              </a:solidFill>
            </a:rPr>
            <a:t>According Laura Carstensen Ph.D, director of Stanford University's Center on Longevity, people today are living longer than at any other time in history</a:t>
          </a:r>
          <a:r>
            <a:rPr sz="1400" b="1">
              <a:solidFill>
                <a:schemeClr val="accent1">
                  <a:lumMod val="50000"/>
                </a:schemeClr>
              </a:solidFill>
            </a:rPr>
            <a:t>. </a:t>
          </a:r>
          <a:r>
            <a:rPr sz="1400" b="0">
              <a:solidFill>
                <a:schemeClr val="accent1">
                  <a:lumMod val="50000"/>
                </a:schemeClr>
              </a:solidFill>
            </a:rPr>
            <a:t>Since 1900 life expectancies have increased by over 25 years. Research shows that our skill sets and decision making abilities deteriorate over time, yet retirees will need to make decisions to create an income that will last as long as they do.</a:t>
          </a:r>
          <a:endParaRPr/>
        </a:p>
        <a:p>
          <a:pPr marL="0" indent="0" algn="l">
            <a:lnSpc>
              <a:spcPct val="100000"/>
            </a:lnSpc>
            <a:buNone/>
          </a:pPr>
          <a:endParaRPr/>
        </a:p>
        <a:p>
          <a:pPr marL="0" indent="0" algn="l">
            <a:lnSpc>
              <a:spcPct val="100000"/>
            </a:lnSpc>
            <a:buNone/>
          </a:pPr>
          <a:r>
            <a:rPr sz="1400" b="1">
              <a:solidFill>
                <a:sysClr val="windowText" lastClr="000000"/>
              </a:solidFill>
            </a:rPr>
            <a:t>a</a:t>
          </a:r>
          <a:r>
            <a:rPr sz="1400" b="1">
              <a:solidFill>
                <a:schemeClr val="accent1">
                  <a:lumMod val="50000"/>
                </a:schemeClr>
              </a:solidFill>
            </a:rPr>
            <a:t>. </a:t>
          </a:r>
          <a:r>
            <a:rPr sz="1400" b="0">
              <a:solidFill>
                <a:sysClr val="windowText" lastClr="000000"/>
              </a:solidFill>
            </a:rPr>
            <a:t>If S</a:t>
          </a:r>
          <a:r>
            <a:rPr sz="1400" b="0"/>
            <a:t>ocial Security and Pension Income are your only life guaranteed income source, you will automatically be Market Dependent for Income. Pulling income from investments in down markets will always result in losses.</a:t>
          </a:r>
          <a:endParaRPr/>
        </a:p>
        <a:p>
          <a:pPr marL="0" indent="0" algn="l">
            <a:lnSpc>
              <a:spcPct val="100000"/>
            </a:lnSpc>
            <a:buNone/>
          </a:pPr>
          <a:r>
            <a:rPr sz="1400" b="1">
              <a:solidFill>
                <a:schemeClr val="dk1"/>
              </a:solidFill>
              <a:latin typeface="+mn-lt"/>
              <a:ea typeface="+mn-lt"/>
              <a:cs typeface="+mn-lt"/>
            </a:rPr>
            <a:t>b.</a:t>
          </a:r>
          <a:r>
            <a:rPr sz="1400" b="0">
              <a:solidFill>
                <a:schemeClr val="dk1"/>
              </a:solidFill>
              <a:latin typeface="+mn-lt"/>
              <a:ea typeface="+mn-lt"/>
              <a:cs typeface="+mn-lt"/>
            </a:rPr>
            <a:t> Unfortunately, market Investments are not guaranteed income sources. As we said earlier, y</a:t>
          </a:r>
          <a:r>
            <a:rPr sz="1400">
              <a:solidFill>
                <a:schemeClr val="dk1"/>
              </a:solidFill>
              <a:latin typeface="+mn-lt"/>
              <a:ea typeface="+mn-lt"/>
              <a:cs typeface="+mn-lt"/>
            </a:rPr>
            <a:t>our skill sets will be different at age 90 than at age 60 and yet you will be facing the added burden of managing a stock portfolio which you are financially dependent on for income. </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Guaranteed Income and solve the Longevity and Management income problem.</a:t>
          </a:r>
          <a:endParaRPr/>
        </a:p>
        <a:p>
          <a:pPr algn="l">
            <a:buNone/>
          </a:pPr>
          <a:endParaRPr/>
        </a:p>
        <a:p>
          <a:pPr algn="ctr">
            <a:buNone/>
          </a:pPr>
          <a:r>
            <a:rPr sz="1600" b="1"/>
            <a:t>On a scale of 1 to 10, How important is it to build a Plan to solve these issues today; </a:t>
          </a:r>
          <a:endParaRPr/>
        </a:p>
        <a:p>
          <a:pPr algn="ctr">
            <a:buNone/>
          </a:pPr>
          <a:r>
            <a:rPr sz="1600" b="1"/>
            <a:t>so that they do not have an adverse effect on your retirement?    </a:t>
          </a:r>
          <a:endParaRPr/>
        </a:p>
        <a:p>
          <a:pPr algn="l">
            <a:buNone/>
          </a:pPr>
          <a:endParaRPr/>
        </a:p>
        <a:p>
          <a:pPr marL="0" indent="0" algn="ctr">
            <a:lnSpc>
              <a:spcPct val="100000"/>
            </a:lnSpc>
            <a:buNone/>
          </a:pPr>
          <a:endParaRPr/>
        </a:p>
        <a:p>
          <a:pPr marL="0" indent="0" algn="ctr">
            <a:lnSpc>
              <a:spcPct val="100000"/>
            </a:lnSpc>
            <a:buNone/>
          </a:pPr>
          <a:r>
            <a:rPr sz="1600" b="1" i="0">
              <a:solidFill>
                <a:schemeClr val="dk1"/>
              </a:solidFill>
              <a:latin typeface="+mn-lt"/>
              <a:ea typeface="+mn-lt"/>
              <a:cs typeface="+mn-lt"/>
            </a:rPr>
            <a:t>Do You or Your present planner have a plan to solve these issues? </a:t>
          </a:r>
          <a:endParaRPr/>
        </a:p>
        <a:p>
          <a:pPr algn="ctr">
            <a:buNone/>
          </a:pPr>
          <a:endParaRPr/>
        </a:p>
        <a:p>
          <a:pPr algn="l">
            <a:buNone/>
          </a:pPr>
          <a:endParaRPr/>
        </a:p>
        <a:p>
          <a:pPr algn="ctr">
            <a:buNone/>
          </a:pPr>
          <a:r>
            <a:rPr sz="1400" b="1"/>
            <a:t>On a scale of 1 to 10 </a:t>
          </a:r>
          <a:endParaRPr/>
        </a:p>
        <a:p>
          <a:pPr algn="ctr">
            <a:buNone/>
          </a:pPr>
          <a:r>
            <a:rPr sz="1600" b="1"/>
            <a:t>How important is it for you to have a Holistic Retirement Income Plan to solve these issues?</a:t>
          </a:r>
          <a:endParaRPr/>
        </a:p>
        <a:p>
          <a:pPr algn="l">
            <a:buNone/>
          </a:pPr>
          <a:endParaRPr/>
        </a:p>
        <a:p>
          <a:pPr algn="ctr">
            <a:buNone/>
          </a:pPr>
          <a:endParaRPr/>
        </a:p>
        <a:p>
          <a:pPr algn="ctr">
            <a:buNone/>
          </a:pPr>
          <a:r>
            <a:rPr sz="1600" b="1" i="0" u="none">
              <a:solidFill>
                <a:schemeClr val="dk1"/>
              </a:solidFill>
              <a:latin typeface="+mn-lt"/>
              <a:ea typeface="+mn-lt"/>
              <a:cs typeface="+mn-lt"/>
            </a:rPr>
            <a:t>Due to changing Interest Rates: If we build a plan how soon do you want to Impliment the Plan?</a:t>
          </a:r>
          <a:r>
            <a:rPr sz="1600"/>
            <a:t> </a:t>
          </a:r>
          <a:r>
            <a:rPr sz="1200"/>
            <a:t>	</a:t>
          </a:r>
          <a:endParaRPr/>
        </a:p>
      </xdr:txBody>
    </xdr:sp>
    <xdr:clientData/>
  </xdr:twoCellAnchor>
  <xdr:twoCellAnchor editAs="oneCell">
    <xdr:from>
      <xdr:col>7</xdr:col>
      <xdr:colOff>95250</xdr:colOff>
      <xdr:row>0</xdr:row>
      <xdr:rowOff>101600</xdr:rowOff>
    </xdr:from>
    <xdr:to>
      <xdr:col>10</xdr:col>
      <xdr:colOff>3175</xdr:colOff>
      <xdr:row>4</xdr:row>
      <xdr:rowOff>0</xdr:rowOff>
    </xdr:to>
    <xdr:pic>
      <xdr:nvPicPr>
        <xdr:cNvPr id="3" name="/xl/media/image16.jpeg">
          <a:extLst>
            <a:ext uri="{FF2B5EF4-FFF2-40B4-BE49-F238E27FC236}">
              <a16:creationId xmlns:a16="http://schemas.microsoft.com/office/drawing/2014/main" id="{00000000-0008-0000-6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oneCellAnchor>
    <xdr:from>
      <xdr:col>7</xdr:col>
      <xdr:colOff>342900</xdr:colOff>
      <xdr:row>26</xdr:row>
      <xdr:rowOff>133350</xdr:rowOff>
    </xdr:from>
    <xdr:ext cx="548612" cy="311496"/>
    <xdr:sp macro="" textlink="">
      <xdr:nvSpPr>
        <xdr:cNvPr id="2" name="TextBox 11">
          <a:extLst>
            <a:ext uri="{FF2B5EF4-FFF2-40B4-BE49-F238E27FC236}">
              <a16:creationId xmlns:a16="http://schemas.microsoft.com/office/drawing/2014/main" id="{00000000-0008-0000-6E00-000002000000}"/>
            </a:ext>
          </a:extLst>
        </xdr:cNvPr>
        <xdr:cNvSpPr>
          <a:spLocks noGrp="1"/>
        </xdr:cNvSpPr>
      </xdr:nvSpPr>
      <xdr:spPr>
        <a:xfrm>
          <a:off x="4610100" y="434340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1994</a:t>
          </a:r>
          <a:endParaRPr/>
        </a:p>
      </xdr:txBody>
    </xdr:sp>
    <xdr:clientData/>
  </xdr:oneCellAnchor>
  <xdr:oneCellAnchor>
    <xdr:from>
      <xdr:col>8</xdr:col>
      <xdr:colOff>257175</xdr:colOff>
      <xdr:row>21</xdr:row>
      <xdr:rowOff>47625</xdr:rowOff>
    </xdr:from>
    <xdr:ext cx="548612" cy="311496"/>
    <xdr:sp macro="" textlink="">
      <xdr:nvSpPr>
        <xdr:cNvPr id="3" name="TextBox 12">
          <a:extLst>
            <a:ext uri="{FF2B5EF4-FFF2-40B4-BE49-F238E27FC236}">
              <a16:creationId xmlns:a16="http://schemas.microsoft.com/office/drawing/2014/main" id="{00000000-0008-0000-6E00-000003000000}"/>
            </a:ext>
          </a:extLst>
        </xdr:cNvPr>
        <xdr:cNvSpPr>
          <a:spLocks noGrp="1"/>
        </xdr:cNvSpPr>
      </xdr:nvSpPr>
      <xdr:spPr>
        <a:xfrm>
          <a:off x="5133975" y="344805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2000</a:t>
          </a:r>
          <a:endParaRPr/>
        </a:p>
      </xdr:txBody>
    </xdr:sp>
    <xdr:clientData/>
  </xdr:oneCellAnchor>
  <xdr:oneCellAnchor>
    <xdr:from>
      <xdr:col>8</xdr:col>
      <xdr:colOff>532515</xdr:colOff>
      <xdr:row>25</xdr:row>
      <xdr:rowOff>143564</xdr:rowOff>
    </xdr:from>
    <xdr:ext cx="548612" cy="530658"/>
    <xdr:sp macro="" textlink="">
      <xdr:nvSpPr>
        <xdr:cNvPr id="4" name="TextBox 13">
          <a:extLst>
            <a:ext uri="{FF2B5EF4-FFF2-40B4-BE49-F238E27FC236}">
              <a16:creationId xmlns:a16="http://schemas.microsoft.com/office/drawing/2014/main" id="{00000000-0008-0000-6E00-000004000000}"/>
            </a:ext>
          </a:extLst>
        </xdr:cNvPr>
        <xdr:cNvSpPr>
          <a:spLocks noGrp="1"/>
        </xdr:cNvSpPr>
      </xdr:nvSpPr>
      <xdr:spPr>
        <a:xfrm>
          <a:off x="5409315" y="4191689"/>
          <a:ext cx="548612" cy="530658"/>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ctr">
          <a:spAutoFit/>
        </a:bodyPr>
        <a:lstStyle/>
        <a:p>
          <a:pPr algn="ctr">
            <a:buNone/>
          </a:pPr>
          <a:r>
            <a:rPr sz="1400" b="1">
              <a:solidFill>
                <a:srgbClr val="FF0000"/>
              </a:solidFill>
            </a:rPr>
            <a:t>2002</a:t>
          </a:r>
          <a:endParaRPr/>
        </a:p>
        <a:p>
          <a:pPr algn="ctr">
            <a:buNone/>
          </a:pPr>
          <a:r>
            <a:rPr sz="1400" b="1">
              <a:solidFill>
                <a:srgbClr val="FF0000"/>
              </a:solidFill>
            </a:rPr>
            <a:t>47%</a:t>
          </a:r>
          <a:endParaRPr/>
        </a:p>
      </xdr:txBody>
    </xdr:sp>
    <xdr:clientData/>
  </xdr:oneCellAnchor>
  <xdr:oneCellAnchor>
    <xdr:from>
      <xdr:col>9</xdr:col>
      <xdr:colOff>409575</xdr:colOff>
      <xdr:row>21</xdr:row>
      <xdr:rowOff>38100</xdr:rowOff>
    </xdr:from>
    <xdr:ext cx="548612" cy="311496"/>
    <xdr:sp macro="" textlink="">
      <xdr:nvSpPr>
        <xdr:cNvPr id="5" name="TextBox 14">
          <a:extLst>
            <a:ext uri="{FF2B5EF4-FFF2-40B4-BE49-F238E27FC236}">
              <a16:creationId xmlns:a16="http://schemas.microsoft.com/office/drawing/2014/main" id="{00000000-0008-0000-6E00-000005000000}"/>
            </a:ext>
          </a:extLst>
        </xdr:cNvPr>
        <xdr:cNvSpPr>
          <a:spLocks noGrp="1"/>
        </xdr:cNvSpPr>
      </xdr:nvSpPr>
      <xdr:spPr>
        <a:xfrm>
          <a:off x="5895975" y="343852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2007</a:t>
          </a:r>
          <a:endParaRPr/>
        </a:p>
      </xdr:txBody>
    </xdr:sp>
    <xdr:clientData/>
  </xdr:oneCellAnchor>
  <xdr:oneCellAnchor>
    <xdr:from>
      <xdr:col>10</xdr:col>
      <xdr:colOff>46740</xdr:colOff>
      <xdr:row>26</xdr:row>
      <xdr:rowOff>95939</xdr:rowOff>
    </xdr:from>
    <xdr:ext cx="548612" cy="530658"/>
    <xdr:sp macro="" textlink="">
      <xdr:nvSpPr>
        <xdr:cNvPr id="6" name="TextBox 15">
          <a:extLst>
            <a:ext uri="{FF2B5EF4-FFF2-40B4-BE49-F238E27FC236}">
              <a16:creationId xmlns:a16="http://schemas.microsoft.com/office/drawing/2014/main" id="{00000000-0008-0000-6E00-000006000000}"/>
            </a:ext>
          </a:extLst>
        </xdr:cNvPr>
        <xdr:cNvSpPr>
          <a:spLocks noGrp="1"/>
        </xdr:cNvSpPr>
      </xdr:nvSpPr>
      <xdr:spPr>
        <a:xfrm>
          <a:off x="6142740" y="4305989"/>
          <a:ext cx="548612" cy="530658"/>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ctr">
          <a:spAutoFit/>
        </a:bodyPr>
        <a:lstStyle/>
        <a:p>
          <a:pPr algn="ctr">
            <a:buNone/>
          </a:pPr>
          <a:r>
            <a:rPr sz="1400" b="1">
              <a:solidFill>
                <a:srgbClr val="FF0000"/>
              </a:solidFill>
            </a:rPr>
            <a:t>2008</a:t>
          </a:r>
          <a:endParaRPr/>
        </a:p>
        <a:p>
          <a:pPr algn="ctr">
            <a:buNone/>
          </a:pPr>
          <a:r>
            <a:rPr sz="1400" b="1">
              <a:solidFill>
                <a:srgbClr val="FF0000"/>
              </a:solidFill>
            </a:rPr>
            <a:t>57%</a:t>
          </a:r>
          <a:endParaRPr/>
        </a:p>
      </xdr:txBody>
    </xdr:sp>
    <xdr:clientData/>
  </xdr:oneCellAnchor>
  <xdr:oneCellAnchor>
    <xdr:from>
      <xdr:col>10</xdr:col>
      <xdr:colOff>476250</xdr:colOff>
      <xdr:row>21</xdr:row>
      <xdr:rowOff>19050</xdr:rowOff>
    </xdr:from>
    <xdr:ext cx="548612" cy="311496"/>
    <xdr:sp macro="" textlink="">
      <xdr:nvSpPr>
        <xdr:cNvPr id="7" name="TextBox 16">
          <a:extLst>
            <a:ext uri="{FF2B5EF4-FFF2-40B4-BE49-F238E27FC236}">
              <a16:creationId xmlns:a16="http://schemas.microsoft.com/office/drawing/2014/main" id="{00000000-0008-0000-6E00-000007000000}"/>
            </a:ext>
          </a:extLst>
        </xdr:cNvPr>
        <xdr:cNvSpPr>
          <a:spLocks noGrp="1"/>
        </xdr:cNvSpPr>
      </xdr:nvSpPr>
      <xdr:spPr>
        <a:xfrm>
          <a:off x="6889750" y="335280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solidFill>
                <a:sysClr val="windowText" lastClr="000000"/>
              </a:solidFill>
            </a:rPr>
            <a:t>2012</a:t>
          </a:r>
          <a:endParaRPr/>
        </a:p>
      </xdr:txBody>
    </xdr:sp>
    <xdr:clientData/>
  </xdr:oneCellAnchor>
  <xdr:oneCellAnchor>
    <xdr:from>
      <xdr:col>11</xdr:col>
      <xdr:colOff>476250</xdr:colOff>
      <xdr:row>20</xdr:row>
      <xdr:rowOff>19050</xdr:rowOff>
    </xdr:from>
    <xdr:ext cx="1373133" cy="311496"/>
    <xdr:sp macro="" textlink="">
      <xdr:nvSpPr>
        <xdr:cNvPr id="8" name="TextBox 17">
          <a:extLst>
            <a:ext uri="{FF2B5EF4-FFF2-40B4-BE49-F238E27FC236}">
              <a16:creationId xmlns:a16="http://schemas.microsoft.com/office/drawing/2014/main" id="{00000000-0008-0000-6E00-000008000000}"/>
            </a:ext>
          </a:extLst>
        </xdr:cNvPr>
        <xdr:cNvSpPr>
          <a:spLocks noGrp="1"/>
        </xdr:cNvSpPr>
      </xdr:nvSpPr>
      <xdr:spPr>
        <a:xfrm>
          <a:off x="7181850" y="3257550"/>
          <a:ext cx="1373133" cy="31149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solidFill>
                <a:schemeClr val="bg1"/>
              </a:solidFill>
            </a:rPr>
            <a:t>2016 Correction</a:t>
          </a:r>
          <a:endParaRPr/>
        </a:p>
      </xdr:txBody>
    </xdr:sp>
    <xdr:clientData/>
  </xdr:oneCellAnchor>
  <xdr:oneCellAnchor>
    <xdr:from>
      <xdr:col>0</xdr:col>
      <xdr:colOff>28575</xdr:colOff>
      <xdr:row>6</xdr:row>
      <xdr:rowOff>28575</xdr:rowOff>
    </xdr:from>
    <xdr:ext cx="10006871" cy="1181099"/>
    <xdr:sp macro="" textlink="">
      <xdr:nvSpPr>
        <xdr:cNvPr id="9" name="TextBox 18">
          <a:extLst>
            <a:ext uri="{FF2B5EF4-FFF2-40B4-BE49-F238E27FC236}">
              <a16:creationId xmlns:a16="http://schemas.microsoft.com/office/drawing/2014/main" id="{00000000-0008-0000-6E00-000009000000}"/>
            </a:ext>
          </a:extLst>
        </xdr:cNvPr>
        <xdr:cNvSpPr>
          <a:spLocks noGrp="1"/>
        </xdr:cNvSpPr>
      </xdr:nvSpPr>
      <xdr:spPr>
        <a:xfrm>
          <a:off x="28575" y="1000125"/>
          <a:ext cx="10006871" cy="118109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1400">
              <a:solidFill>
                <a:schemeClr val="bg1"/>
              </a:solidFill>
            </a:rPr>
            <a:t>Since 1994 the Market Returned 7.65% and Your Earnings have been Compounding You have or had a Paycheck</a:t>
          </a:r>
          <a:endParaRPr/>
        </a:p>
        <a:p>
          <a:pPr algn="ctr">
            <a:buNone/>
          </a:pPr>
          <a:r>
            <a:rPr sz="1400">
              <a:solidFill>
                <a:schemeClr val="bg1"/>
              </a:solidFill>
            </a:rPr>
            <a:t>When you have a Paycheck and are not taking money out....... and Market losses are </a:t>
          </a:r>
          <a:r>
            <a:rPr sz="1400" u="sng">
              <a:solidFill>
                <a:schemeClr val="bg1"/>
              </a:solidFill>
            </a:rPr>
            <a:t>Only Paper losses and the Market Comes Back</a:t>
          </a:r>
          <a:endParaRPr/>
        </a:p>
        <a:p>
          <a:pPr algn="ctr">
            <a:buNone/>
          </a:pPr>
          <a:r>
            <a:rPr sz="1400">
              <a:solidFill>
                <a:schemeClr val="bg1"/>
              </a:solidFill>
            </a:rPr>
            <a:t>The Day Your Paycheck Stops...is the Day everything Changes...You start relying on the Market for Income</a:t>
          </a:r>
          <a:endParaRPr/>
        </a:p>
        <a:p>
          <a:pPr algn="ctr">
            <a:buNone/>
          </a:pPr>
          <a:r>
            <a:rPr sz="1400">
              <a:solidFill>
                <a:schemeClr val="bg1"/>
              </a:solidFill>
            </a:rPr>
            <a:t>When You Sell Stock for Income in Down Maket Times....The Losses are Real Losses and You Run out of Money</a:t>
          </a:r>
          <a:endParaRPr/>
        </a:p>
        <a:p>
          <a:pPr algn="ctr">
            <a:buNone/>
          </a:pPr>
          <a:r>
            <a:rPr sz="1400" u="sng">
              <a:solidFill>
                <a:schemeClr val="bg1"/>
              </a:solidFill>
            </a:rPr>
            <a:t>and the Market DOES NOT Come back, the money taken out is Gone!</a:t>
          </a:r>
          <a:endParaRPr/>
        </a:p>
      </xdr:txBody>
    </xdr:sp>
    <xdr:clientData/>
  </xdr:oneCellAnchor>
  <xdr:twoCellAnchor editAs="oneCell">
    <xdr:from>
      <xdr:col>0</xdr:col>
      <xdr:colOff>0</xdr:colOff>
      <xdr:row>0</xdr:row>
      <xdr:rowOff>19050</xdr:rowOff>
    </xdr:from>
    <xdr:to>
      <xdr:col>16</xdr:col>
      <xdr:colOff>304800</xdr:colOff>
      <xdr:row>38</xdr:row>
      <xdr:rowOff>152399</xdr:rowOff>
    </xdr:to>
    <xdr:pic>
      <xdr:nvPicPr>
        <xdr:cNvPr id="10" name="/xl/media/image20.png">
          <a:extLst>
            <a:ext uri="{FF2B5EF4-FFF2-40B4-BE49-F238E27FC236}">
              <a16:creationId xmlns:a16="http://schemas.microsoft.com/office/drawing/2014/main" id="{00000000-0008-0000-6E00-00000A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000-000003000000}"/>
            </a:ext>
          </a:extLst>
        </xdr:cNvPr>
        <xdr:cNvSpPr>
          <a:spLocks noGrp="1"/>
        </xdr:cNvSpPr>
      </xdr:nvSpPr>
      <xdr:spPr>
        <a:xfrm>
          <a:off x="0" y="8239124"/>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21.png">
          <a:extLst>
            <a:ext uri="{FF2B5EF4-FFF2-40B4-BE49-F238E27FC236}">
              <a16:creationId xmlns:a16="http://schemas.microsoft.com/office/drawing/2014/main" id="{00000000-0008-0000-70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52</xdr:row>
      <xdr:rowOff>23813</xdr:rowOff>
    </xdr:to>
    <xdr:sp macro="" textlink="">
      <xdr:nvSpPr>
        <xdr:cNvPr id="2" name="Text Box 3">
          <a:extLst>
            <a:ext uri="{FF2B5EF4-FFF2-40B4-BE49-F238E27FC236}">
              <a16:creationId xmlns:a16="http://schemas.microsoft.com/office/drawing/2014/main" id="{00000000-0008-0000-7100-000002000000}"/>
            </a:ext>
          </a:extLst>
        </xdr:cNvPr>
        <xdr:cNvSpPr>
          <a:spLocks noGrp="1"/>
        </xdr:cNvSpPr>
      </xdr:nvSpPr>
      <xdr:spPr>
        <a:xfrm>
          <a:off x="47624" y="8610959"/>
          <a:ext cx="11190797" cy="2280879"/>
        </a:xfrm>
        <a:prstGeom prst="rect">
          <a:avLst/>
        </a:prstGeom>
        <a:solidFill>
          <a:srgbClr val="FFFFFF"/>
        </a:solidFill>
        <a:ln>
          <a:noFill/>
        </a:ln>
      </xdr:spPr>
      <xdr:txBody>
        <a:bodyPr wrap="square" lIns="27432" tIns="22860" rIns="27432" bIns="0" anchor="ctr"/>
        <a:lstStyle/>
        <a:p>
          <a:pPr>
            <a:buNone/>
          </a:pPr>
          <a:r>
            <a:rPr sz="1100" b="1" i="1" u="sng">
              <a:latin typeface="+mn-lt"/>
              <a:ea typeface="+mn-lt"/>
              <a:cs typeface="+mn-lt"/>
            </a:rPr>
            <a:t>Steve with a life expectancy of 81 years </a:t>
          </a:r>
          <a:r>
            <a:rPr sz="1100" b="1" i="0">
              <a:latin typeface="+mn-lt"/>
              <a:ea typeface="+mn-lt"/>
              <a:cs typeface="+mn-lt"/>
            </a:rPr>
            <a:t>files a standard application for benefits at age 64 Your approximate benefit would be $2,269 per mo. </a:t>
          </a:r>
          <a:endParaRPr/>
        </a:p>
        <a:p>
          <a:pPr>
            <a:buNone/>
          </a:pPr>
          <a:endParaRPr/>
        </a:p>
        <a:p>
          <a:pPr>
            <a:buNone/>
          </a:pPr>
          <a:r>
            <a:rPr sz="1100" b="1" i="1" u="sng">
              <a:latin typeface="+mn-lt"/>
              <a:ea typeface="+mn-lt"/>
              <a:cs typeface="+mn-lt"/>
            </a:rPr>
            <a:t>Phyllis with a life expectancy of 84 years </a:t>
          </a:r>
          <a:r>
            <a:rPr sz="1100" b="1" i="0">
              <a:latin typeface="+mn-lt"/>
              <a:ea typeface="+mn-lt"/>
              <a:cs typeface="+mn-lt"/>
            </a:rPr>
            <a:t>file with a standard application for benefits at age 63 years. Your approximate benefit is $1,598. per mo.  </a:t>
          </a:r>
          <a:endParaRPr/>
        </a:p>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83343</xdr:rowOff>
    </xdr:from>
    <xdr:to>
      <xdr:col>3</xdr:col>
      <xdr:colOff>202406</xdr:colOff>
      <xdr:row>7</xdr:row>
      <xdr:rowOff>71437</xdr:rowOff>
    </xdr:to>
    <xdr:pic>
      <xdr:nvPicPr>
        <xdr:cNvPr id="3" name="/xl/media/image14.png">
          <a:extLst>
            <a:ext uri="{FF2B5EF4-FFF2-40B4-BE49-F238E27FC236}">
              <a16:creationId xmlns:a16="http://schemas.microsoft.com/office/drawing/2014/main" id="{00000000-0008-0000-7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9525</xdr:colOff>
      <xdr:row>2</xdr:row>
      <xdr:rowOff>0</xdr:rowOff>
    </xdr:from>
    <xdr:to>
      <xdr:col>7</xdr:col>
      <xdr:colOff>581025</xdr:colOff>
      <xdr:row>24</xdr:row>
      <xdr:rowOff>142875</xdr:rowOff>
    </xdr:to>
    <xdr:graphicFrame macro="">
      <xdr:nvGraphicFramePr>
        <xdr:cNvPr id="2" name="Chart">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25</xdr:row>
      <xdr:rowOff>19051</xdr:rowOff>
    </xdr:from>
    <xdr:to>
      <xdr:col>12</xdr:col>
      <xdr:colOff>600075</xdr:colOff>
      <xdr:row>33</xdr:row>
      <xdr:rowOff>95251</xdr:rowOff>
    </xdr:to>
    <xdr:sp macro="" textlink="">
      <xdr:nvSpPr>
        <xdr:cNvPr id="3" name="TextBox 4">
          <a:extLst>
            <a:ext uri="{FF2B5EF4-FFF2-40B4-BE49-F238E27FC236}">
              <a16:creationId xmlns:a16="http://schemas.microsoft.com/office/drawing/2014/main" id="{00000000-0008-0000-7400-000003000000}"/>
            </a:ext>
          </a:extLst>
        </xdr:cNvPr>
        <xdr:cNvSpPr>
          <a:spLocks noGrp="1"/>
        </xdr:cNvSpPr>
      </xdr:nvSpPr>
      <xdr:spPr>
        <a:xfrm>
          <a:off x="47625" y="4686301"/>
          <a:ext cx="8353425" cy="137160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500-000003000000}"/>
            </a:ext>
          </a:extLst>
        </xdr:cNvPr>
        <xdr:cNvSpPr>
          <a:spLocks noGrp="1"/>
        </xdr:cNvSpPr>
      </xdr:nvSpPr>
      <xdr:spPr>
        <a:xfrm>
          <a:off x="0" y="8220074"/>
          <a:ext cx="107918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Spreadsheet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LifeSpreadsheet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105832</xdr:colOff>
      <xdr:row>0</xdr:row>
      <xdr:rowOff>0</xdr:rowOff>
    </xdr:from>
    <xdr:to>
      <xdr:col>12</xdr:col>
      <xdr:colOff>177550</xdr:colOff>
      <xdr:row>4</xdr:row>
      <xdr:rowOff>42334</xdr:rowOff>
    </xdr:to>
    <xdr:pic>
      <xdr:nvPicPr>
        <xdr:cNvPr id="4" name="/xl/media/image22.png">
          <a:extLst>
            <a:ext uri="{FF2B5EF4-FFF2-40B4-BE49-F238E27FC236}">
              <a16:creationId xmlns:a16="http://schemas.microsoft.com/office/drawing/2014/main" id="{00000000-0008-0000-75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oneCellAnchor>
    <xdr:from>
      <xdr:col>5</xdr:col>
      <xdr:colOff>1133475</xdr:colOff>
      <xdr:row>0</xdr:row>
      <xdr:rowOff>9524</xdr:rowOff>
    </xdr:from>
    <xdr:ext cx="1800225" cy="485775"/>
    <xdr:sp macro="" textlink="">
      <xdr:nvSpPr>
        <xdr:cNvPr id="2" name="TextBox 3">
          <a:extLst>
            <a:ext uri="{FF2B5EF4-FFF2-40B4-BE49-F238E27FC236}">
              <a16:creationId xmlns:a16="http://schemas.microsoft.com/office/drawing/2014/main" id="{00000000-0008-0000-7600-000002000000}"/>
            </a:ext>
          </a:extLst>
        </xdr:cNvPr>
        <xdr:cNvSpPr>
          <a:spLocks noGrp="1"/>
        </xdr:cNvSpPr>
      </xdr:nvSpPr>
      <xdr:spPr>
        <a:xfrm>
          <a:off x="5295900" y="9524"/>
          <a:ext cx="1800225" cy="485775"/>
        </a:xfrm>
        <a:prstGeom prst="rect">
          <a:avLst/>
        </a:prstGeom>
        <a:solidFill>
          <a:schemeClr val="tx2">
            <a:lumMod val="60000"/>
            <a:lumOff val="40000"/>
          </a:schemeClr>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6</xdr:col>
      <xdr:colOff>361950</xdr:colOff>
      <xdr:row>0</xdr:row>
      <xdr:rowOff>57150</xdr:rowOff>
    </xdr:from>
    <xdr:to>
      <xdr:col>7</xdr:col>
      <xdr:colOff>914400</xdr:colOff>
      <xdr:row>1</xdr:row>
      <xdr:rowOff>0</xdr:rowOff>
    </xdr:to>
    <xdr:pic>
      <xdr:nvPicPr>
        <xdr:cNvPr id="3" name="/xl/media/image23.png">
          <a:extLst>
            <a:ext uri="{FF2B5EF4-FFF2-40B4-BE49-F238E27FC236}">
              <a16:creationId xmlns:a16="http://schemas.microsoft.com/office/drawing/2014/main" id="{00000000-0008-0000-7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3</xdr:col>
      <xdr:colOff>1095375</xdr:colOff>
      <xdr:row>5</xdr:row>
      <xdr:rowOff>0</xdr:rowOff>
    </xdr:from>
    <xdr:to>
      <xdr:col>8</xdr:col>
      <xdr:colOff>323850</xdr:colOff>
      <xdr:row>14</xdr:row>
      <xdr:rowOff>9525</xdr:rowOff>
    </xdr:to>
    <xdr:pic>
      <xdr:nvPicPr>
        <xdr:cNvPr id="4" name="/xl/media/image24.png">
          <a:extLst>
            <a:ext uri="{FF2B5EF4-FFF2-40B4-BE49-F238E27FC236}">
              <a16:creationId xmlns:a16="http://schemas.microsoft.com/office/drawing/2014/main" id="{00000000-0008-0000-76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0</xdr:col>
      <xdr:colOff>0</xdr:colOff>
      <xdr:row>0</xdr:row>
      <xdr:rowOff>0</xdr:rowOff>
    </xdr:from>
    <xdr:to>
      <xdr:col>10</xdr:col>
      <xdr:colOff>507076</xdr:colOff>
      <xdr:row>46</xdr:row>
      <xdr:rowOff>58189</xdr:rowOff>
    </xdr:to>
    <xdr:sp macro="" textlink="">
      <xdr:nvSpPr>
        <xdr:cNvPr id="107532" name="Text Box 12" hidden="1">
          <a:extLst>
            <a:ext uri="{FF2B5EF4-FFF2-40B4-BE49-F238E27FC236}">
              <a16:creationId xmlns:a16="http://schemas.microsoft.com/office/drawing/2014/main" id="{ECD1CF8E-4628-3E3B-4A32-CCDE7EA02EA8}"/>
            </a:ext>
          </a:extLst>
        </xdr:cNvPr>
        <xdr:cNvSpPr txBox="1">
          <a:spLocks noSelect="1" noChangeArrowheads="1"/>
        </xdr:cNvSpPr>
      </xdr:nvSpPr>
      <xdr:spPr bwMode="auto">
        <a:xfrm>
          <a:off x="0" y="0"/>
          <a:ext cx="8312727" cy="8312727"/>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5" name="AutoShape 12">
          <a:extLst>
            <a:ext uri="{FF2B5EF4-FFF2-40B4-BE49-F238E27FC236}">
              <a16:creationId xmlns:a16="http://schemas.microsoft.com/office/drawing/2014/main" id="{794931C9-EF27-53C3-3AAB-E3F077BAFBF2}"/>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6" name="AutoShape 12">
          <a:extLst>
            <a:ext uri="{FF2B5EF4-FFF2-40B4-BE49-F238E27FC236}">
              <a16:creationId xmlns:a16="http://schemas.microsoft.com/office/drawing/2014/main" id="{D3C862C2-33C5-1E89-FFA3-829B2639DD07}"/>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7" name="AutoShape 12">
          <a:extLst>
            <a:ext uri="{FF2B5EF4-FFF2-40B4-BE49-F238E27FC236}">
              <a16:creationId xmlns:a16="http://schemas.microsoft.com/office/drawing/2014/main" id="{9B521097-6514-0679-0429-6B89B786898C}"/>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8" name="AutoShape 12">
          <a:extLst>
            <a:ext uri="{FF2B5EF4-FFF2-40B4-BE49-F238E27FC236}">
              <a16:creationId xmlns:a16="http://schemas.microsoft.com/office/drawing/2014/main" id="{9805677D-4C84-2442-278D-AEA2E43CEED6}"/>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9" name="AutoShape 12">
          <a:extLst>
            <a:ext uri="{FF2B5EF4-FFF2-40B4-BE49-F238E27FC236}">
              <a16:creationId xmlns:a16="http://schemas.microsoft.com/office/drawing/2014/main" id="{386DEB56-BF66-4C3F-4536-D877503114D8}"/>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10" name="AutoShape 12">
          <a:extLst>
            <a:ext uri="{FF2B5EF4-FFF2-40B4-BE49-F238E27FC236}">
              <a16:creationId xmlns:a16="http://schemas.microsoft.com/office/drawing/2014/main" id="{0FB8CEF4-9502-BF81-6EA5-849C7D6F9F37}"/>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11" name="AutoShape 12">
          <a:extLst>
            <a:ext uri="{FF2B5EF4-FFF2-40B4-BE49-F238E27FC236}">
              <a16:creationId xmlns:a16="http://schemas.microsoft.com/office/drawing/2014/main" id="{306768F8-8233-BFFA-1DBC-FB77AD91EA06}"/>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2" name="AutoShape 12">
          <a:extLst>
            <a:ext uri="{FF2B5EF4-FFF2-40B4-BE49-F238E27FC236}">
              <a16:creationId xmlns:a16="http://schemas.microsoft.com/office/drawing/2014/main" id="{D5699038-4CD2-59E8-02DD-98ED051988BE}"/>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290557</xdr:colOff>
      <xdr:row>45</xdr:row>
      <xdr:rowOff>34183</xdr:rowOff>
    </xdr:to>
    <xdr:sp macro="" textlink="">
      <xdr:nvSpPr>
        <xdr:cNvPr id="13" name="AutoShape 12">
          <a:extLst>
            <a:ext uri="{FF2B5EF4-FFF2-40B4-BE49-F238E27FC236}">
              <a16:creationId xmlns:a16="http://schemas.microsoft.com/office/drawing/2014/main" id="{90350EBD-F5EB-998E-3530-ED5E402D368D}"/>
            </a:ext>
          </a:extLst>
        </xdr:cNvPr>
        <xdr:cNvSpPr>
          <a:spLocks noChangeArrowheads="1"/>
        </xdr:cNvSpPr>
      </xdr:nvSpPr>
      <xdr:spPr bwMode="auto">
        <a:xfrm>
          <a:off x="0" y="0"/>
          <a:ext cx="8315058" cy="8315058"/>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4" name="AutoShape 12">
          <a:extLst>
            <a:ext uri="{FF2B5EF4-FFF2-40B4-BE49-F238E27FC236}">
              <a16:creationId xmlns:a16="http://schemas.microsoft.com/office/drawing/2014/main" id="{AF8E9306-9C72-01C2-D0BC-6C3B27B2DB7B}"/>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5" name="AutoShape 12">
          <a:extLst>
            <a:ext uri="{FF2B5EF4-FFF2-40B4-BE49-F238E27FC236}">
              <a16:creationId xmlns:a16="http://schemas.microsoft.com/office/drawing/2014/main" id="{501275B1-EB6B-8F83-B8FE-55E79F6E304B}"/>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6" name="AutoShape 12">
          <a:extLst>
            <a:ext uri="{FF2B5EF4-FFF2-40B4-BE49-F238E27FC236}">
              <a16:creationId xmlns:a16="http://schemas.microsoft.com/office/drawing/2014/main" id="{C14348E6-B0BB-063F-C49E-98D18BEBFB85}"/>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7" name="AutoShape 12">
          <a:extLst>
            <a:ext uri="{FF2B5EF4-FFF2-40B4-BE49-F238E27FC236}">
              <a16:creationId xmlns:a16="http://schemas.microsoft.com/office/drawing/2014/main" id="{31CD1A3A-37D4-874F-2735-099AADA933F9}"/>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507076</xdr:colOff>
      <xdr:row>46</xdr:row>
      <xdr:rowOff>58189</xdr:rowOff>
    </xdr:to>
    <xdr:sp macro="" textlink="">
      <xdr:nvSpPr>
        <xdr:cNvPr id="18" name="AutoShape 12">
          <a:extLst>
            <a:ext uri="{FF2B5EF4-FFF2-40B4-BE49-F238E27FC236}">
              <a16:creationId xmlns:a16="http://schemas.microsoft.com/office/drawing/2014/main" id="{971118D7-933A-B6EB-CA69-35EA1A664D11}"/>
            </a:ext>
          </a:extLst>
        </xdr:cNvPr>
        <xdr:cNvSpPr>
          <a:spLocks noChangeArrowheads="1"/>
        </xdr:cNvSpPr>
      </xdr:nvSpPr>
      <xdr:spPr bwMode="auto">
        <a:xfrm>
          <a:off x="0" y="0"/>
          <a:ext cx="8312727" cy="8312727"/>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3</xdr:row>
      <xdr:rowOff>38099</xdr:rowOff>
    </xdr:from>
    <xdr:to>
      <xdr:col>8</xdr:col>
      <xdr:colOff>9526</xdr:colOff>
      <xdr:row>36</xdr:row>
      <xdr:rowOff>123825</xdr:rowOff>
    </xdr:to>
    <xdr:graphicFrame macro="">
      <xdr:nvGraphicFramePr>
        <xdr:cNvPr id="2" name="Chart">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49</xdr:row>
      <xdr:rowOff>76200</xdr:rowOff>
    </xdr:to>
    <xdr:sp macro="" textlink="">
      <xdr:nvSpPr>
        <xdr:cNvPr id="3" name="TextBox 2">
          <a:extLst>
            <a:ext uri="{FF2B5EF4-FFF2-40B4-BE49-F238E27FC236}">
              <a16:creationId xmlns:a16="http://schemas.microsoft.com/office/drawing/2014/main" id="{00000000-0008-0000-7700-000003000000}"/>
            </a:ext>
          </a:extLst>
        </xdr:cNvPr>
        <xdr:cNvSpPr>
          <a:spLocks noGrp="1"/>
        </xdr:cNvSpPr>
      </xdr:nvSpPr>
      <xdr:spPr>
        <a:xfrm>
          <a:off x="0" y="7210424"/>
          <a:ext cx="9705975" cy="2105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175260</xdr:colOff>
      <xdr:row>2</xdr:row>
      <xdr:rowOff>121920</xdr:rowOff>
    </xdr:from>
    <xdr:to>
      <xdr:col>17</xdr:col>
      <xdr:colOff>310198</xdr:colOff>
      <xdr:row>15</xdr:row>
      <xdr:rowOff>63500</xdr:rowOff>
    </xdr:to>
    <xdr:sp macro="" textlink="">
      <xdr:nvSpPr>
        <xdr:cNvPr id="2" name="AutoShape 11">
          <a:extLst>
            <a:ext uri="{FF2B5EF4-FFF2-40B4-BE49-F238E27FC236}">
              <a16:creationId xmlns:a16="http://schemas.microsoft.com/office/drawing/2014/main" id="{00000000-0008-0000-0D00-000002000000}"/>
            </a:ext>
          </a:extLst>
        </xdr:cNvPr>
        <xdr:cNvSpPr>
          <a:spLocks noGrp="1"/>
        </xdr:cNvSpPr>
      </xdr:nvSpPr>
      <xdr:spPr>
        <a:xfrm>
          <a:off x="6271260" y="457200"/>
          <a:ext cx="4402138" cy="2120900"/>
        </a:xfrm>
        <a:prstGeom prst="wedgeRectCallout">
          <a:avLst/>
        </a:prstGeom>
        <a:solidFill>
          <a:schemeClr val="tx1"/>
        </a:solidFill>
        <a:ln w="76200">
          <a:solidFill>
            <a:schemeClr val="tx2"/>
          </a:solidFill>
          <a:miter/>
        </a:ln>
      </xdr:spPr>
      <xdr:txBody>
        <a:bodyPr wrap="square" anchor="ctr"/>
        <a:lstStyle>
          <a:lvl1pPr algn="l">
            <a:defRPr sz="2400" u="sng">
              <a:solidFill>
                <a:schemeClr val="bg1"/>
              </a:solidFill>
              <a:latin typeface="Arial"/>
              <a:ea typeface="Arial"/>
              <a:cs typeface="Arial"/>
            </a:defRPr>
          </a:lvl1pPr>
          <a:lvl2pPr marL="457200" algn="l">
            <a:defRPr sz="2400" u="sng">
              <a:solidFill>
                <a:schemeClr val="bg1"/>
              </a:solidFill>
              <a:latin typeface="Arial"/>
              <a:ea typeface="Arial"/>
              <a:cs typeface="Arial"/>
            </a:defRPr>
          </a:lvl2pPr>
          <a:lvl3pPr marL="914400" algn="l">
            <a:defRPr sz="2400" u="sng">
              <a:solidFill>
                <a:schemeClr val="bg1"/>
              </a:solidFill>
              <a:latin typeface="Arial"/>
              <a:ea typeface="Arial"/>
              <a:cs typeface="Arial"/>
            </a:defRPr>
          </a:lvl3pPr>
          <a:lvl4pPr marL="1371600" algn="l">
            <a:defRPr sz="2400" u="sng">
              <a:solidFill>
                <a:schemeClr val="bg1"/>
              </a:solidFill>
              <a:latin typeface="Arial"/>
              <a:ea typeface="Arial"/>
              <a:cs typeface="Arial"/>
            </a:defRPr>
          </a:lvl4pPr>
          <a:lvl5pPr marL="1828800" algn="l">
            <a:defRPr sz="2400" u="sng">
              <a:solidFill>
                <a:schemeClr val="bg1"/>
              </a:solidFill>
              <a:latin typeface="Arial"/>
              <a:ea typeface="Arial"/>
              <a:cs typeface="Arial"/>
            </a:defRPr>
          </a:lvl5pPr>
          <a:lvl6pPr marL="2286000" algn="l">
            <a:defRPr sz="2400" u="sng">
              <a:solidFill>
                <a:schemeClr val="bg1"/>
              </a:solidFill>
              <a:latin typeface="Arial"/>
              <a:ea typeface="Arial"/>
              <a:cs typeface="Arial"/>
            </a:defRPr>
          </a:lvl6pPr>
          <a:lvl7pPr marL="2743200" algn="l">
            <a:defRPr sz="2400" u="sng">
              <a:solidFill>
                <a:schemeClr val="bg1"/>
              </a:solidFill>
              <a:latin typeface="Arial"/>
              <a:ea typeface="Arial"/>
              <a:cs typeface="Arial"/>
            </a:defRPr>
          </a:lvl7pPr>
          <a:lvl8pPr marL="3200400" algn="l">
            <a:defRPr sz="2400" u="sng">
              <a:solidFill>
                <a:schemeClr val="bg1"/>
              </a:solidFill>
              <a:latin typeface="Arial"/>
              <a:ea typeface="Arial"/>
              <a:cs typeface="Arial"/>
            </a:defRPr>
          </a:lvl8pPr>
          <a:lvl9pPr marL="3657600" algn="l">
            <a:defRPr sz="2400" u="sng">
              <a:solidFill>
                <a:schemeClr val="bg1"/>
              </a:solidFill>
              <a:latin typeface="Arial"/>
              <a:ea typeface="Arial"/>
              <a:cs typeface="Arial"/>
            </a:defRPr>
          </a:lvl9pPr>
        </a:lstStyle>
        <a:p>
          <a:pPr algn="ctr">
            <a:buChar char="•"/>
          </a:pPr>
          <a:endParaRPr/>
        </a:p>
      </xdr:txBody>
    </xdr:sp>
    <xdr:clientData/>
  </xdr:twoCellAnchor>
  <xdr:twoCellAnchor editAs="oneCell">
    <xdr:from>
      <xdr:col>2</xdr:col>
      <xdr:colOff>68580</xdr:colOff>
      <xdr:row>0</xdr:row>
      <xdr:rowOff>144780</xdr:rowOff>
    </xdr:from>
    <xdr:to>
      <xdr:col>9</xdr:col>
      <xdr:colOff>4445</xdr:colOff>
      <xdr:row>33</xdr:row>
      <xdr:rowOff>144780</xdr:rowOff>
    </xdr:to>
    <xdr:pic>
      <xdr:nvPicPr>
        <xdr:cNvPr id="3" name="/xl/media/image10.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10</xdr:col>
      <xdr:colOff>342900</xdr:colOff>
      <xdr:row>4</xdr:row>
      <xdr:rowOff>60960</xdr:rowOff>
    </xdr:from>
    <xdr:to>
      <xdr:col>17</xdr:col>
      <xdr:colOff>268287</xdr:colOff>
      <xdr:row>14</xdr:row>
      <xdr:rowOff>16510</xdr:rowOff>
    </xdr:to>
    <xdr:pic>
      <xdr:nvPicPr>
        <xdr:cNvPr id="4" name="/xl/media/image11.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xdr:colOff>
      <xdr:row>4</xdr:row>
      <xdr:rowOff>19049</xdr:rowOff>
    </xdr:from>
    <xdr:to>
      <xdr:col>13</xdr:col>
      <xdr:colOff>9524</xdr:colOff>
      <xdr:row>32</xdr:row>
      <xdr:rowOff>161925</xdr:rowOff>
    </xdr:to>
    <xdr:graphicFrame macro="">
      <xdr:nvGraphicFramePr>
        <xdr:cNvPr id="2" name="Chart">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32</xdr:row>
      <xdr:rowOff>161924</xdr:rowOff>
    </xdr:from>
    <xdr:to>
      <xdr:col>13</xdr:col>
      <xdr:colOff>19050</xdr:colOff>
      <xdr:row>42</xdr:row>
      <xdr:rowOff>133350</xdr:rowOff>
    </xdr:to>
    <xdr:sp macro="" textlink="">
      <xdr:nvSpPr>
        <xdr:cNvPr id="3" name="TextBox 2">
          <a:extLst>
            <a:ext uri="{FF2B5EF4-FFF2-40B4-BE49-F238E27FC236}">
              <a16:creationId xmlns:a16="http://schemas.microsoft.com/office/drawing/2014/main" id="{00000000-0008-0000-7800-000003000000}"/>
            </a:ext>
          </a:extLst>
        </xdr:cNvPr>
        <xdr:cNvSpPr>
          <a:spLocks noGrp="1"/>
        </xdr:cNvSpPr>
      </xdr:nvSpPr>
      <xdr:spPr>
        <a:xfrm>
          <a:off x="0" y="6115049"/>
          <a:ext cx="9477375" cy="159067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3</xdr:row>
      <xdr:rowOff>304800</xdr:rowOff>
    </xdr:from>
    <xdr:to>
      <xdr:col>8</xdr:col>
      <xdr:colOff>66675</xdr:colOff>
      <xdr:row>36</xdr:row>
      <xdr:rowOff>9525</xdr:rowOff>
    </xdr:to>
    <xdr:graphicFrame macro="">
      <xdr:nvGraphicFramePr>
        <xdr:cNvPr id="2" name="Chart">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52441</xdr:rowOff>
    </xdr:from>
    <xdr:to>
      <xdr:col>13</xdr:col>
      <xdr:colOff>0</xdr:colOff>
      <xdr:row>46</xdr:row>
      <xdr:rowOff>64266</xdr:rowOff>
    </xdr:to>
    <xdr:sp macro="" textlink="">
      <xdr:nvSpPr>
        <xdr:cNvPr id="3" name="TextBox 5">
          <a:extLst>
            <a:ext uri="{FF2B5EF4-FFF2-40B4-BE49-F238E27FC236}">
              <a16:creationId xmlns:a16="http://schemas.microsoft.com/office/drawing/2014/main" id="{00000000-0008-0000-7900-000003000000}"/>
            </a:ext>
          </a:extLst>
        </xdr:cNvPr>
        <xdr:cNvSpPr>
          <a:spLocks noGrp="1"/>
        </xdr:cNvSpPr>
      </xdr:nvSpPr>
      <xdr:spPr>
        <a:xfrm>
          <a:off x="0" y="8796391"/>
          <a:ext cx="11563350" cy="163107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Spreadsheet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10</xdr:col>
      <xdr:colOff>942975</xdr:colOff>
      <xdr:row>0</xdr:row>
      <xdr:rowOff>0</xdr:rowOff>
    </xdr:from>
    <xdr:to>
      <xdr:col>13</xdr:col>
      <xdr:colOff>66675</xdr:colOff>
      <xdr:row>10</xdr:row>
      <xdr:rowOff>28575</xdr:rowOff>
    </xdr:to>
    <xdr:pic>
      <xdr:nvPicPr>
        <xdr:cNvPr id="4" name="/xl/media/image25.png">
          <a:extLst>
            <a:ext uri="{FF2B5EF4-FFF2-40B4-BE49-F238E27FC236}">
              <a16:creationId xmlns:a16="http://schemas.microsoft.com/office/drawing/2014/main" id="{00000000-0008-0000-79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A00-000003000000}"/>
            </a:ext>
          </a:extLst>
        </xdr:cNvPr>
        <xdr:cNvSpPr>
          <a:spLocks noGrp="1"/>
        </xdr:cNvSpPr>
      </xdr:nvSpPr>
      <xdr:spPr>
        <a:xfrm>
          <a:off x="0" y="803909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21.png">
          <a:extLst>
            <a:ext uri="{FF2B5EF4-FFF2-40B4-BE49-F238E27FC236}">
              <a16:creationId xmlns:a16="http://schemas.microsoft.com/office/drawing/2014/main" id="{00000000-0008-0000-7A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10583</xdr:colOff>
      <xdr:row>2</xdr:row>
      <xdr:rowOff>295275</xdr:rowOff>
    </xdr:from>
    <xdr:to>
      <xdr:col>7</xdr:col>
      <xdr:colOff>603251</xdr:colOff>
      <xdr:row>36</xdr:row>
      <xdr:rowOff>123825</xdr:rowOff>
    </xdr:to>
    <xdr:graphicFrame macro="">
      <xdr:nvGraphicFramePr>
        <xdr:cNvPr id="2" name="Chart">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49</xdr:row>
      <xdr:rowOff>76200</xdr:rowOff>
    </xdr:to>
    <xdr:sp macro="" textlink="">
      <xdr:nvSpPr>
        <xdr:cNvPr id="3" name="TextBox 2">
          <a:extLst>
            <a:ext uri="{FF2B5EF4-FFF2-40B4-BE49-F238E27FC236}">
              <a16:creationId xmlns:a16="http://schemas.microsoft.com/office/drawing/2014/main" id="{00000000-0008-0000-7B00-000003000000}"/>
            </a:ext>
          </a:extLst>
        </xdr:cNvPr>
        <xdr:cNvSpPr>
          <a:spLocks noGrp="1"/>
        </xdr:cNvSpPr>
      </xdr:nvSpPr>
      <xdr:spPr>
        <a:xfrm>
          <a:off x="0" y="7524749"/>
          <a:ext cx="11420475" cy="213360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Estimator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Estimator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C00-000003000000}"/>
            </a:ext>
          </a:extLst>
        </xdr:cNvPr>
        <xdr:cNvSpPr>
          <a:spLocks noGrp="1"/>
        </xdr:cNvSpPr>
      </xdr:nvSpPr>
      <xdr:spPr>
        <a:xfrm>
          <a:off x="0" y="803909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21.png">
          <a:extLst>
            <a:ext uri="{FF2B5EF4-FFF2-40B4-BE49-F238E27FC236}">
              <a16:creationId xmlns:a16="http://schemas.microsoft.com/office/drawing/2014/main" id="{00000000-0008-0000-7C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D00-000003000000}"/>
            </a:ext>
          </a:extLst>
        </xdr:cNvPr>
        <xdr:cNvSpPr>
          <a:spLocks noGrp="1"/>
        </xdr:cNvSpPr>
      </xdr:nvSpPr>
      <xdr:spPr>
        <a:xfrm>
          <a:off x="0" y="836294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21.png">
          <a:extLst>
            <a:ext uri="{FF2B5EF4-FFF2-40B4-BE49-F238E27FC236}">
              <a16:creationId xmlns:a16="http://schemas.microsoft.com/office/drawing/2014/main" id="{00000000-0008-0000-7D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9524</xdr:colOff>
      <xdr:row>4</xdr:row>
      <xdr:rowOff>19049</xdr:rowOff>
    </xdr:from>
    <xdr:to>
      <xdr:col>13</xdr:col>
      <xdr:colOff>9524</xdr:colOff>
      <xdr:row>32</xdr:row>
      <xdr:rowOff>161925</xdr:rowOff>
    </xdr:to>
    <xdr:graphicFrame macro="">
      <xdr:nvGraphicFramePr>
        <xdr:cNvPr id="2" name="Chart">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32</xdr:row>
      <xdr:rowOff>190499</xdr:rowOff>
    </xdr:from>
    <xdr:to>
      <xdr:col>13</xdr:col>
      <xdr:colOff>19050</xdr:colOff>
      <xdr:row>41</xdr:row>
      <xdr:rowOff>19050</xdr:rowOff>
    </xdr:to>
    <xdr:sp macro="" textlink="">
      <xdr:nvSpPr>
        <xdr:cNvPr id="3" name="TextBox 2">
          <a:extLst>
            <a:ext uri="{FF2B5EF4-FFF2-40B4-BE49-F238E27FC236}">
              <a16:creationId xmlns:a16="http://schemas.microsoft.com/office/drawing/2014/main" id="{00000000-0008-0000-7E00-000003000000}"/>
            </a:ext>
          </a:extLst>
        </xdr:cNvPr>
        <xdr:cNvSpPr>
          <a:spLocks noGrp="1"/>
        </xdr:cNvSpPr>
      </xdr:nvSpPr>
      <xdr:spPr>
        <a:xfrm>
          <a:off x="0" y="6115049"/>
          <a:ext cx="9477375" cy="131445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F00-000003000000}"/>
            </a:ext>
          </a:extLst>
        </xdr:cNvPr>
        <xdr:cNvSpPr>
          <a:spLocks noGrp="1"/>
        </xdr:cNvSpPr>
      </xdr:nvSpPr>
      <xdr:spPr>
        <a:xfrm>
          <a:off x="0" y="836294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21.png">
          <a:extLst>
            <a:ext uri="{FF2B5EF4-FFF2-40B4-BE49-F238E27FC236}">
              <a16:creationId xmlns:a16="http://schemas.microsoft.com/office/drawing/2014/main" id="{00000000-0008-0000-7F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251460</xdr:colOff>
      <xdr:row>0</xdr:row>
      <xdr:rowOff>0</xdr:rowOff>
    </xdr:from>
    <xdr:to>
      <xdr:col>10</xdr:col>
      <xdr:colOff>527685</xdr:colOff>
      <xdr:row>32</xdr:row>
      <xdr:rowOff>160020</xdr:rowOff>
    </xdr:to>
    <xdr:pic>
      <xdr:nvPicPr>
        <xdr:cNvPr id="2" name="/xl/media/image12.jpe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10</xdr:col>
      <xdr:colOff>449580</xdr:colOff>
      <xdr:row>0</xdr:row>
      <xdr:rowOff>0</xdr:rowOff>
    </xdr:from>
    <xdr:to>
      <xdr:col>19</xdr:col>
      <xdr:colOff>449580</xdr:colOff>
      <xdr:row>33</xdr:row>
      <xdr:rowOff>30480</xdr:rowOff>
    </xdr:to>
    <xdr:pic>
      <xdr:nvPicPr>
        <xdr:cNvPr id="3" name="/xl/media/image13.jpe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205740</xdr:colOff>
      <xdr:row>0</xdr:row>
      <xdr:rowOff>45720</xdr:rowOff>
    </xdr:from>
    <xdr:to>
      <xdr:col>18</xdr:col>
      <xdr:colOff>541020</xdr:colOff>
      <xdr:row>43</xdr:row>
      <xdr:rowOff>68581</xdr:rowOff>
    </xdr:to>
    <xdr:sp macro="" textlink="">
      <xdr:nvSpPr>
        <xdr:cNvPr id="2" name="TextBox 1">
          <a:extLst>
            <a:ext uri="{FF2B5EF4-FFF2-40B4-BE49-F238E27FC236}">
              <a16:creationId xmlns:a16="http://schemas.microsoft.com/office/drawing/2014/main" id="{00000000-0008-0000-0F00-000002000000}"/>
            </a:ext>
          </a:extLst>
        </xdr:cNvPr>
        <xdr:cNvSpPr>
          <a:spLocks noGrp="1"/>
        </xdr:cNvSpPr>
      </xdr:nvSpPr>
      <xdr:spPr>
        <a:xfrm>
          <a:off x="2080260" y="45720"/>
          <a:ext cx="9707880" cy="723138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algn="ctr">
            <a:buNone/>
          </a:pPr>
          <a:endParaRPr/>
        </a:p>
        <a:p>
          <a:pPr algn="ctr">
            <a:buNone/>
          </a:pPr>
          <a:endParaRPr/>
        </a:p>
        <a:p>
          <a:pPr algn="ctr">
            <a:buNone/>
          </a:pPr>
          <a:r>
            <a:rPr sz="3200" b="1">
              <a:solidFill>
                <a:schemeClr val="accent1">
                  <a:lumMod val="50000"/>
                </a:schemeClr>
              </a:solidFill>
            </a:rPr>
            <a:t>Social Security Statement</a:t>
          </a:r>
          <a:endParaRPr/>
        </a:p>
        <a:p>
          <a:pPr algn="ctr">
            <a:buNone/>
          </a:pPr>
          <a:endParaRPr/>
        </a:p>
        <a:p>
          <a:pPr algn="l">
            <a:buNone/>
          </a:pPr>
          <a:r>
            <a:rPr sz="2000" b="0" i="1">
              <a:solidFill>
                <a:schemeClr val="accent1">
                  <a:lumMod val="50000"/>
                </a:schemeClr>
              </a:solidFill>
            </a:rPr>
            <a:t>" Currently, the Social Security Board of Trustees projects program costs to rise by 2035 so that taxes will be enough to pay only 75 percent of scheduled benefits.This increase in cost results from popluation aging, not because we are living longer, but because birth rates dropped from three to two children per woman. Importantly, this shortfall is basically stable after 2035; adjustments to taxes or benefits that offset the effects of the lower birth rate may restore solvency for the Social Security program on a sustainable basis for the foreseeable future. Finally, as Treasury debt securities (trust fund assets) are redeemed in the future, they will just be replaced with public debt. If trust fund assets are exhausted without reform, benefits will necessarily be lowered with no effect on budget deficits."</a:t>
          </a:r>
          <a:endParaRPr/>
        </a:p>
        <a:p>
          <a:pPr algn="ctr">
            <a:buNone/>
          </a:pPr>
          <a:endParaRPr/>
        </a:p>
        <a:p>
          <a:pPr algn="ctr">
            <a:buNone/>
          </a:pPr>
          <a:endParaRPr/>
        </a:p>
        <a:p>
          <a:pPr algn="ctr">
            <a:buNone/>
          </a:pPr>
          <a:endParaRPr/>
        </a:p>
        <a:p>
          <a:pPr algn="l">
            <a:buNone/>
          </a:pPr>
          <a:r>
            <a:rPr sz="5400" b="0" i="1">
              <a:solidFill>
                <a:schemeClr val="accent1">
                  <a:lumMod val="50000"/>
                </a:schemeClr>
              </a:solidFill>
            </a:rPr>
            <a:t>			</a:t>
          </a:r>
          <a:endParaRPr/>
        </a:p>
        <a:p>
          <a:pPr algn="l">
            <a:buNone/>
          </a:pPr>
          <a:r>
            <a:rPr sz="5400" b="1">
              <a:solidFill>
                <a:schemeClr val="accent1">
                  <a:lumMod val="50000"/>
                </a:schemeClr>
              </a:solidFill>
            </a:rPr>
            <a:t>				</a:t>
          </a:r>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426720</xdr:colOff>
      <xdr:row>57</xdr:row>
      <xdr:rowOff>137160</xdr:rowOff>
    </xdr:from>
    <xdr:to>
      <xdr:col>3</xdr:col>
      <xdr:colOff>621624</xdr:colOff>
      <xdr:row>62</xdr:row>
      <xdr:rowOff>93457</xdr:rowOff>
    </xdr:to>
    <xdr:pic>
      <xdr:nvPicPr>
        <xdr:cNvPr id="2" name="Picture 1">
          <a:extLst>
            <a:ext uri="{FF2B5EF4-FFF2-40B4-BE49-F238E27FC236}">
              <a16:creationId xmlns:a16="http://schemas.microsoft.com/office/drawing/2014/main" id="{46679AFB-C379-466D-B41A-C4621FCA6A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6720" y="12415058"/>
          <a:ext cx="2073580" cy="754318"/>
        </a:xfrm>
        <a:prstGeom prst="rect">
          <a:avLst/>
        </a:prstGeom>
      </xdr:spPr>
    </xdr:pic>
    <xdr:clientData/>
  </xdr:twoCellAnchor>
  <xdr:twoCellAnchor>
    <xdr:from>
      <xdr:col>12</xdr:col>
      <xdr:colOff>289560</xdr:colOff>
      <xdr:row>18</xdr:row>
      <xdr:rowOff>7620</xdr:rowOff>
    </xdr:from>
    <xdr:to>
      <xdr:col>12</xdr:col>
      <xdr:colOff>774192</xdr:colOff>
      <xdr:row>22</xdr:row>
      <xdr:rowOff>0</xdr:rowOff>
    </xdr:to>
    <xdr:sp macro="" textlink="">
      <xdr:nvSpPr>
        <xdr:cNvPr id="3" name="Arrow: Down 2">
          <a:extLst>
            <a:ext uri="{FF2B5EF4-FFF2-40B4-BE49-F238E27FC236}">
              <a16:creationId xmlns:a16="http://schemas.microsoft.com/office/drawing/2014/main" id="{DE62EBD3-DD96-4159-9278-3370C0E013FB}"/>
            </a:ext>
          </a:extLst>
        </xdr:cNvPr>
        <xdr:cNvSpPr/>
      </xdr:nvSpPr>
      <xdr:spPr>
        <a:xfrm>
          <a:off x="11802687" y="4953693"/>
          <a:ext cx="484632" cy="72390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129540</xdr:colOff>
      <xdr:row>17</xdr:row>
      <xdr:rowOff>0</xdr:rowOff>
    </xdr:from>
    <xdr:to>
      <xdr:col>13</xdr:col>
      <xdr:colOff>614172</xdr:colOff>
      <xdr:row>21</xdr:row>
      <xdr:rowOff>152400</xdr:rowOff>
    </xdr:to>
    <xdr:sp macro="" textlink="">
      <xdr:nvSpPr>
        <xdr:cNvPr id="4" name="Arrow: Down 3">
          <a:extLst>
            <a:ext uri="{FF2B5EF4-FFF2-40B4-BE49-F238E27FC236}">
              <a16:creationId xmlns:a16="http://schemas.microsoft.com/office/drawing/2014/main" id="{E149A0FC-D94C-4A5A-80CB-E263DECBDB5C}"/>
            </a:ext>
          </a:extLst>
        </xdr:cNvPr>
        <xdr:cNvSpPr/>
      </xdr:nvSpPr>
      <xdr:spPr>
        <a:xfrm>
          <a:off x="12565380" y="4946073"/>
          <a:ext cx="484632" cy="69272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182880</xdr:colOff>
      <xdr:row>18</xdr:row>
      <xdr:rowOff>7620</xdr:rowOff>
    </xdr:from>
    <xdr:to>
      <xdr:col>14</xdr:col>
      <xdr:colOff>667512</xdr:colOff>
      <xdr:row>21</xdr:row>
      <xdr:rowOff>152400</xdr:rowOff>
    </xdr:to>
    <xdr:sp macro="" textlink="">
      <xdr:nvSpPr>
        <xdr:cNvPr id="5" name="Arrow: Down 4">
          <a:extLst>
            <a:ext uri="{FF2B5EF4-FFF2-40B4-BE49-F238E27FC236}">
              <a16:creationId xmlns:a16="http://schemas.microsoft.com/office/drawing/2014/main" id="{812B9080-C409-43F4-A612-4C68DE7A9C84}"/>
            </a:ext>
          </a:extLst>
        </xdr:cNvPr>
        <xdr:cNvSpPr/>
      </xdr:nvSpPr>
      <xdr:spPr>
        <a:xfrm>
          <a:off x="13292051" y="4953693"/>
          <a:ext cx="484632" cy="68510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716280</xdr:colOff>
      <xdr:row>18</xdr:row>
      <xdr:rowOff>91440</xdr:rowOff>
    </xdr:from>
    <xdr:to>
      <xdr:col>13</xdr:col>
      <xdr:colOff>190500</xdr:colOff>
      <xdr:row>20</xdr:row>
      <xdr:rowOff>53340</xdr:rowOff>
    </xdr:to>
    <xdr:sp macro="" textlink="">
      <xdr:nvSpPr>
        <xdr:cNvPr id="6" name="Minus Sign 5">
          <a:extLst>
            <a:ext uri="{FF2B5EF4-FFF2-40B4-BE49-F238E27FC236}">
              <a16:creationId xmlns:a16="http://schemas.microsoft.com/office/drawing/2014/main" id="{43156BE9-45EB-42C0-9EC7-58A365664590}"/>
            </a:ext>
          </a:extLst>
        </xdr:cNvPr>
        <xdr:cNvSpPr/>
      </xdr:nvSpPr>
      <xdr:spPr>
        <a:xfrm>
          <a:off x="12229407" y="5037513"/>
          <a:ext cx="396933" cy="311034"/>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chemeClr val="tx1"/>
              </a:solidFill>
            </a:ln>
            <a:solidFill>
              <a:sysClr val="windowText" lastClr="000000"/>
            </a:solidFill>
          </a:endParaRPr>
        </a:p>
      </xdr:txBody>
    </xdr:sp>
    <xdr:clientData/>
  </xdr:twoCellAnchor>
  <xdr:twoCellAnchor>
    <xdr:from>
      <xdr:col>13</xdr:col>
      <xdr:colOff>502920</xdr:colOff>
      <xdr:row>18</xdr:row>
      <xdr:rowOff>114300</xdr:rowOff>
    </xdr:from>
    <xdr:to>
      <xdr:col>14</xdr:col>
      <xdr:colOff>289560</xdr:colOff>
      <xdr:row>20</xdr:row>
      <xdr:rowOff>53340</xdr:rowOff>
    </xdr:to>
    <xdr:sp macro="" textlink="">
      <xdr:nvSpPr>
        <xdr:cNvPr id="7" name="Equals 6">
          <a:extLst>
            <a:ext uri="{FF2B5EF4-FFF2-40B4-BE49-F238E27FC236}">
              <a16:creationId xmlns:a16="http://schemas.microsoft.com/office/drawing/2014/main" id="{AD1FBA1A-3EC3-4CC4-9C9D-C7B3C7EAD13D}"/>
            </a:ext>
          </a:extLst>
        </xdr:cNvPr>
        <xdr:cNvSpPr/>
      </xdr:nvSpPr>
      <xdr:spPr>
        <a:xfrm>
          <a:off x="12938760" y="5060373"/>
          <a:ext cx="459971" cy="288174"/>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chemeClr val="tx1"/>
              </a:solidFill>
            </a:ln>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AA62121C-D7BA-449D-B716-C788730E9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A67B52DF-FB66-4106-845C-8E7E4D4F6B66}"/>
            </a:ext>
          </a:extLst>
        </xdr:cNvPr>
        <xdr:cNvSpPr>
          <a:spLocks noGrp="1"/>
        </xdr:cNvSpPr>
      </xdr:nvSpPr>
      <xdr:spPr>
        <a:xfrm>
          <a:off x="80682" y="9111931"/>
          <a:ext cx="12685222" cy="145279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21</xdr:row>
      <xdr:rowOff>174567</xdr:rowOff>
    </xdr:to>
    <xdr:sp macro="" textlink="">
      <xdr:nvSpPr>
        <xdr:cNvPr id="2" name="Arrow: Down 2">
          <a:extLst>
            <a:ext uri="{FF2B5EF4-FFF2-40B4-BE49-F238E27FC236}">
              <a16:creationId xmlns:a16="http://schemas.microsoft.com/office/drawing/2014/main" id="{00000000-0008-0000-1200-000002000000}"/>
            </a:ext>
          </a:extLst>
        </xdr:cNvPr>
        <xdr:cNvSpPr>
          <a:spLocks noGrp="1"/>
        </xdr:cNvSpPr>
      </xdr:nvSpPr>
      <xdr:spPr>
        <a:xfrm>
          <a:off x="12826240" y="4972727"/>
          <a:ext cx="484632" cy="744409"/>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200-000003000000}"/>
            </a:ext>
          </a:extLst>
        </xdr:cNvPr>
        <xdr:cNvSpPr>
          <a:spLocks noGrp="1"/>
        </xdr:cNvSpPr>
      </xdr:nvSpPr>
      <xdr:spPr>
        <a:xfrm>
          <a:off x="13614804" y="4965107"/>
          <a:ext cx="484632" cy="707876"/>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200-000004000000}"/>
            </a:ext>
          </a:extLst>
        </xdr:cNvPr>
        <xdr:cNvSpPr>
          <a:spLocks noGrp="1"/>
        </xdr:cNvSpPr>
      </xdr:nvSpPr>
      <xdr:spPr>
        <a:xfrm>
          <a:off x="14608181" y="4972727"/>
          <a:ext cx="484632" cy="700256"/>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200-000005000000}"/>
            </a:ext>
          </a:extLst>
        </xdr:cNvPr>
        <xdr:cNvSpPr>
          <a:spLocks noGrp="1"/>
        </xdr:cNvSpPr>
      </xdr:nvSpPr>
      <xdr:spPr>
        <a:xfrm>
          <a:off x="13252960" y="5056547"/>
          <a:ext cx="422804"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200-000006000000}"/>
            </a:ext>
          </a:extLst>
        </xdr:cNvPr>
        <xdr:cNvSpPr>
          <a:spLocks noGrp="1"/>
        </xdr:cNvSpPr>
      </xdr:nvSpPr>
      <xdr:spPr>
        <a:xfrm>
          <a:off x="13988184" y="5079407"/>
          <a:ext cx="726677"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2.png">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1300-000003000000}"/>
            </a:ext>
          </a:extLst>
        </xdr:cNvPr>
        <xdr:cNvSpPr>
          <a:spLocks noGrp="1"/>
        </xdr:cNvSpPr>
      </xdr:nvSpPr>
      <xdr:spPr>
        <a:xfrm>
          <a:off x="80682" y="9168653"/>
          <a:ext cx="13070541" cy="157666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1500-000003000000}"/>
            </a:ext>
          </a:extLst>
        </xdr:cNvPr>
        <xdr:cNvSpPr>
          <a:spLocks noGrp="1"/>
        </xdr:cNvSpPr>
      </xdr:nvSpPr>
      <xdr:spPr>
        <a:xfrm>
          <a:off x="80682" y="9120244"/>
          <a:ext cx="12685222" cy="145279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21</xdr:row>
      <xdr:rowOff>182880</xdr:rowOff>
    </xdr:to>
    <xdr:sp macro="" textlink="">
      <xdr:nvSpPr>
        <xdr:cNvPr id="2" name="Arrow: Down 2">
          <a:extLst>
            <a:ext uri="{FF2B5EF4-FFF2-40B4-BE49-F238E27FC236}">
              <a16:creationId xmlns:a16="http://schemas.microsoft.com/office/drawing/2014/main" id="{89EE3A42-4923-49F5-8ACA-524E4FE96490}"/>
            </a:ext>
          </a:extLst>
        </xdr:cNvPr>
        <xdr:cNvSpPr>
          <a:spLocks noGrp="1"/>
        </xdr:cNvSpPr>
      </xdr:nvSpPr>
      <xdr:spPr>
        <a:xfrm>
          <a:off x="12484331" y="4637809"/>
          <a:ext cx="484632" cy="72390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135775</xdr:rowOff>
    </xdr:to>
    <xdr:sp macro="" textlink="">
      <xdr:nvSpPr>
        <xdr:cNvPr id="3" name="Arrow: Down 3">
          <a:extLst>
            <a:ext uri="{FF2B5EF4-FFF2-40B4-BE49-F238E27FC236}">
              <a16:creationId xmlns:a16="http://schemas.microsoft.com/office/drawing/2014/main" id="{610B6FF5-AF98-450A-8A36-500EF0C59663}"/>
            </a:ext>
          </a:extLst>
        </xdr:cNvPr>
        <xdr:cNvSpPr>
          <a:spLocks noGrp="1"/>
        </xdr:cNvSpPr>
      </xdr:nvSpPr>
      <xdr:spPr>
        <a:xfrm>
          <a:off x="13247024" y="4630189"/>
          <a:ext cx="484632" cy="684415"/>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135775</xdr:rowOff>
    </xdr:to>
    <xdr:sp macro="" textlink="">
      <xdr:nvSpPr>
        <xdr:cNvPr id="4" name="Arrow: Down 4">
          <a:extLst>
            <a:ext uri="{FF2B5EF4-FFF2-40B4-BE49-F238E27FC236}">
              <a16:creationId xmlns:a16="http://schemas.microsoft.com/office/drawing/2014/main" id="{97F13FDD-056B-4DFC-ADDC-1A9886F4DD38}"/>
            </a:ext>
          </a:extLst>
        </xdr:cNvPr>
        <xdr:cNvSpPr>
          <a:spLocks noGrp="1"/>
        </xdr:cNvSpPr>
      </xdr:nvSpPr>
      <xdr:spPr>
        <a:xfrm>
          <a:off x="14214764" y="4637809"/>
          <a:ext cx="484632" cy="67679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36715</xdr:rowOff>
    </xdr:to>
    <xdr:sp macro="" textlink="">
      <xdr:nvSpPr>
        <xdr:cNvPr id="5" name="Minus Sign 5">
          <a:extLst>
            <a:ext uri="{FF2B5EF4-FFF2-40B4-BE49-F238E27FC236}">
              <a16:creationId xmlns:a16="http://schemas.microsoft.com/office/drawing/2014/main" id="{23BB8E0D-DFD2-4283-BB3C-2928A275410E}"/>
            </a:ext>
          </a:extLst>
        </xdr:cNvPr>
        <xdr:cNvSpPr>
          <a:spLocks noGrp="1"/>
        </xdr:cNvSpPr>
      </xdr:nvSpPr>
      <xdr:spPr>
        <a:xfrm>
          <a:off x="12911051" y="4721629"/>
          <a:ext cx="396933" cy="294409"/>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36715</xdr:rowOff>
    </xdr:to>
    <xdr:sp macro="" textlink="">
      <xdr:nvSpPr>
        <xdr:cNvPr id="6" name="Equals 6">
          <a:extLst>
            <a:ext uri="{FF2B5EF4-FFF2-40B4-BE49-F238E27FC236}">
              <a16:creationId xmlns:a16="http://schemas.microsoft.com/office/drawing/2014/main" id="{BBFA5469-0008-4ACD-828B-3CA79B5155D5}"/>
            </a:ext>
          </a:extLst>
        </xdr:cNvPr>
        <xdr:cNvSpPr>
          <a:spLocks noGrp="1"/>
        </xdr:cNvSpPr>
      </xdr:nvSpPr>
      <xdr:spPr>
        <a:xfrm>
          <a:off x="13620404" y="4744489"/>
          <a:ext cx="701040" cy="271549"/>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56</xdr:row>
      <xdr:rowOff>137160</xdr:rowOff>
    </xdr:from>
    <xdr:to>
      <xdr:col>3</xdr:col>
      <xdr:colOff>588373</xdr:colOff>
      <xdr:row>60</xdr:row>
      <xdr:rowOff>101769</xdr:rowOff>
    </xdr:to>
    <xdr:pic>
      <xdr:nvPicPr>
        <xdr:cNvPr id="7" name="/xl/media/image2.png">
          <a:extLst>
            <a:ext uri="{FF2B5EF4-FFF2-40B4-BE49-F238E27FC236}">
              <a16:creationId xmlns:a16="http://schemas.microsoft.com/office/drawing/2014/main" id="{5D481B2D-870E-4C21-AB88-94C3540BD5A6}"/>
            </a:ext>
          </a:extLst>
        </xdr:cNvPr>
        <xdr:cNvPicPr>
          <a:picLocks noChangeAspect="1"/>
        </xdr:cNvPicPr>
      </xdr:nvPicPr>
      <xdr:blipFill>
        <a:blip xmlns:r="http://schemas.openxmlformats.org/officeDocument/2006/relationships" r:embed="rId1"/>
        <a:stretch>
          <a:fillRect/>
        </a:stretch>
      </xdr:blipFill>
      <xdr:spPr>
        <a:xfrm>
          <a:off x="426720" y="12032673"/>
          <a:ext cx="2073580" cy="754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38</xdr:row>
      <xdr:rowOff>45605</xdr:rowOff>
    </xdr:from>
    <xdr:to>
      <xdr:col>10</xdr:col>
      <xdr:colOff>1123950</xdr:colOff>
      <xdr:row>46</xdr:row>
      <xdr:rowOff>158751</xdr:rowOff>
    </xdr:to>
    <xdr:sp macro="" textlink="">
      <xdr:nvSpPr>
        <xdr:cNvPr id="2" name="Text Box 3">
          <a:extLst>
            <a:ext uri="{FF2B5EF4-FFF2-40B4-BE49-F238E27FC236}">
              <a16:creationId xmlns:a16="http://schemas.microsoft.com/office/drawing/2014/main" id="{00000000-0008-0000-0100-000002000000}"/>
            </a:ext>
          </a:extLst>
        </xdr:cNvPr>
        <xdr:cNvSpPr>
          <a:spLocks noGrp="1"/>
        </xdr:cNvSpPr>
      </xdr:nvSpPr>
      <xdr:spPr>
        <a:xfrm>
          <a:off x="0" y="8717165"/>
          <a:ext cx="9841230" cy="1454266"/>
        </a:xfrm>
        <a:prstGeom prst="rect">
          <a:avLst/>
        </a:prstGeom>
        <a:solidFill>
          <a:srgbClr val="FFFFFF"/>
        </a:solidFill>
        <a:ln>
          <a:noFill/>
        </a:ln>
      </xdr:spPr>
      <xdr:txBody>
        <a:bodyPr wrap="square" lIns="27432" tIns="22860" rIns="27432" bIns="0" anchor="ctr"/>
        <a:lstStyle/>
        <a:p>
          <a:pPr>
            <a:buNone/>
          </a:pPr>
          <a:endParaRPr/>
        </a:p>
        <a:p>
          <a:pPr algn="l">
            <a:buNone/>
          </a:pPr>
          <a:r>
            <a:rPr sz="1000" b="0" i="0" u="none">
              <a:solidFill>
                <a:srgbClr val="000000"/>
              </a:solidFill>
              <a:latin typeface="Arial"/>
              <a:ea typeface="Arial"/>
              <a:cs typeface="Arial"/>
            </a:rPr>
            <a:t>The Income For Assessment Spreadsheet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AssessmentSpreadsheet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400-000002000000}"/>
            </a:ext>
          </a:extLst>
        </xdr:cNvPr>
        <xdr:cNvSpPr>
          <a:spLocks noGrp="1"/>
        </xdr:cNvSpPr>
      </xdr:nvSpPr>
      <xdr:spPr>
        <a:xfrm>
          <a:off x="12484331" y="4745875"/>
          <a:ext cx="484632" cy="740525"/>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400-000003000000}"/>
            </a:ext>
          </a:extLst>
        </xdr:cNvPr>
        <xdr:cNvSpPr>
          <a:spLocks noGrp="1"/>
        </xdr:cNvSpPr>
      </xdr:nvSpPr>
      <xdr:spPr>
        <a:xfrm>
          <a:off x="13247024" y="4738255"/>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400-000004000000}"/>
            </a:ext>
          </a:extLst>
        </xdr:cNvPr>
        <xdr:cNvSpPr>
          <a:spLocks noGrp="1"/>
        </xdr:cNvSpPr>
      </xdr:nvSpPr>
      <xdr:spPr>
        <a:xfrm>
          <a:off x="14214764" y="4745875"/>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400-000005000000}"/>
            </a:ext>
          </a:extLst>
        </xdr:cNvPr>
        <xdr:cNvSpPr>
          <a:spLocks noGrp="1"/>
        </xdr:cNvSpPr>
      </xdr:nvSpPr>
      <xdr:spPr>
        <a:xfrm>
          <a:off x="12911051" y="4829695"/>
          <a:ext cx="396933" cy="311034"/>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400-000006000000}"/>
            </a:ext>
          </a:extLst>
        </xdr:cNvPr>
        <xdr:cNvSpPr>
          <a:spLocks noGrp="1"/>
        </xdr:cNvSpPr>
      </xdr:nvSpPr>
      <xdr:spPr>
        <a:xfrm>
          <a:off x="13620404" y="4852555"/>
          <a:ext cx="701040" cy="288174"/>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56</xdr:row>
      <xdr:rowOff>137160</xdr:rowOff>
    </xdr:from>
    <xdr:to>
      <xdr:col>3</xdr:col>
      <xdr:colOff>588373</xdr:colOff>
      <xdr:row>60</xdr:row>
      <xdr:rowOff>101769</xdr:rowOff>
    </xdr:to>
    <xdr:pic>
      <xdr:nvPicPr>
        <xdr:cNvPr id="7" name="/xl/media/image2.png">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1">
          <a:extLst>
            <a:ext uri="{FF2B5EF4-FFF2-40B4-BE49-F238E27FC236}">
              <a16:creationId xmlns:a16="http://schemas.microsoft.com/office/drawing/2014/main" id="{00000000-0008-0000-1600-000002000000}"/>
            </a:ext>
          </a:extLst>
        </xdr:cNvPr>
        <xdr:cNvSpPr>
          <a:spLocks noGrp="1"/>
        </xdr:cNvSpPr>
      </xdr:nvSpPr>
      <xdr:spPr>
        <a:xfrm>
          <a:off x="11940540" y="4099560"/>
          <a:ext cx="484632" cy="6781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600-000003000000}"/>
            </a:ext>
          </a:extLst>
        </xdr:cNvPr>
        <xdr:cNvSpPr>
          <a:spLocks noGrp="1"/>
        </xdr:cNvSpPr>
      </xdr:nvSpPr>
      <xdr:spPr>
        <a:xfrm>
          <a:off x="12733020" y="4091940"/>
          <a:ext cx="484632" cy="67056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600-000004000000}"/>
            </a:ext>
          </a:extLst>
        </xdr:cNvPr>
        <xdr:cNvSpPr>
          <a:spLocks noGrp="1"/>
        </xdr:cNvSpPr>
      </xdr:nvSpPr>
      <xdr:spPr>
        <a:xfrm>
          <a:off x="13479780" y="4099560"/>
          <a:ext cx="484632" cy="66294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600-000005000000}"/>
            </a:ext>
          </a:extLst>
        </xdr:cNvPr>
        <xdr:cNvSpPr>
          <a:spLocks noGrp="1"/>
        </xdr:cNvSpPr>
      </xdr:nvSpPr>
      <xdr:spPr>
        <a:xfrm>
          <a:off x="12367260" y="418338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600-000006000000}"/>
            </a:ext>
          </a:extLst>
        </xdr:cNvPr>
        <xdr:cNvSpPr>
          <a:spLocks noGrp="1"/>
        </xdr:cNvSpPr>
      </xdr:nvSpPr>
      <xdr:spPr>
        <a:xfrm>
          <a:off x="13106400" y="420624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2.png">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700-000002000000}"/>
            </a:ext>
          </a:extLst>
        </xdr:cNvPr>
        <xdr:cNvSpPr>
          <a:spLocks noGrp="1"/>
        </xdr:cNvSpPr>
      </xdr:nvSpPr>
      <xdr:spPr>
        <a:xfrm>
          <a:off x="12416042"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700-000003000000}"/>
            </a:ext>
          </a:extLst>
        </xdr:cNvPr>
        <xdr:cNvSpPr>
          <a:spLocks noGrp="1"/>
        </xdr:cNvSpPr>
      </xdr:nvSpPr>
      <xdr:spPr>
        <a:xfrm>
          <a:off x="13204605"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700-000004000000}"/>
            </a:ext>
          </a:extLst>
        </xdr:cNvPr>
        <xdr:cNvSpPr>
          <a:spLocks noGrp="1"/>
        </xdr:cNvSpPr>
      </xdr:nvSpPr>
      <xdr:spPr>
        <a:xfrm>
          <a:off x="14197983"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700-000005000000}"/>
            </a:ext>
          </a:extLst>
        </xdr:cNvPr>
        <xdr:cNvSpPr>
          <a:spLocks noGrp="1"/>
        </xdr:cNvSpPr>
      </xdr:nvSpPr>
      <xdr:spPr>
        <a:xfrm>
          <a:off x="12842762"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700-000006000000}"/>
            </a:ext>
          </a:extLst>
        </xdr:cNvPr>
        <xdr:cNvSpPr>
          <a:spLocks noGrp="1"/>
        </xdr:cNvSpPr>
      </xdr:nvSpPr>
      <xdr:spPr>
        <a:xfrm>
          <a:off x="13577985"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2.png">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800-000002000000}"/>
            </a:ext>
          </a:extLst>
        </xdr:cNvPr>
        <xdr:cNvSpPr>
          <a:spLocks noGrp="1"/>
        </xdr:cNvSpPr>
      </xdr:nvSpPr>
      <xdr:spPr>
        <a:xfrm>
          <a:off x="12125485"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800-000003000000}"/>
            </a:ext>
          </a:extLst>
        </xdr:cNvPr>
        <xdr:cNvSpPr>
          <a:spLocks noGrp="1"/>
        </xdr:cNvSpPr>
      </xdr:nvSpPr>
      <xdr:spPr>
        <a:xfrm>
          <a:off x="12914048"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800-000004000000}"/>
            </a:ext>
          </a:extLst>
        </xdr:cNvPr>
        <xdr:cNvSpPr>
          <a:spLocks noGrp="1"/>
        </xdr:cNvSpPr>
      </xdr:nvSpPr>
      <xdr:spPr>
        <a:xfrm>
          <a:off x="13907426"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800-000005000000}"/>
            </a:ext>
          </a:extLst>
        </xdr:cNvPr>
        <xdr:cNvSpPr>
          <a:spLocks noGrp="1"/>
        </xdr:cNvSpPr>
      </xdr:nvSpPr>
      <xdr:spPr>
        <a:xfrm>
          <a:off x="12552205"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800-000006000000}"/>
            </a:ext>
          </a:extLst>
        </xdr:cNvPr>
        <xdr:cNvSpPr>
          <a:spLocks noGrp="1"/>
        </xdr:cNvSpPr>
      </xdr:nvSpPr>
      <xdr:spPr>
        <a:xfrm>
          <a:off x="13287428"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2.png">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900-000002000000}"/>
            </a:ext>
          </a:extLst>
        </xdr:cNvPr>
        <xdr:cNvSpPr>
          <a:spLocks noGrp="1"/>
        </xdr:cNvSpPr>
      </xdr:nvSpPr>
      <xdr:spPr>
        <a:xfrm>
          <a:off x="12125485"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900-000003000000}"/>
            </a:ext>
          </a:extLst>
        </xdr:cNvPr>
        <xdr:cNvSpPr>
          <a:spLocks noGrp="1"/>
        </xdr:cNvSpPr>
      </xdr:nvSpPr>
      <xdr:spPr>
        <a:xfrm>
          <a:off x="12914048"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900-000004000000}"/>
            </a:ext>
          </a:extLst>
        </xdr:cNvPr>
        <xdr:cNvSpPr>
          <a:spLocks noGrp="1"/>
        </xdr:cNvSpPr>
      </xdr:nvSpPr>
      <xdr:spPr>
        <a:xfrm>
          <a:off x="13907426"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900-000005000000}"/>
            </a:ext>
          </a:extLst>
        </xdr:cNvPr>
        <xdr:cNvSpPr>
          <a:spLocks noGrp="1"/>
        </xdr:cNvSpPr>
      </xdr:nvSpPr>
      <xdr:spPr>
        <a:xfrm>
          <a:off x="12552205"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900-000006000000}"/>
            </a:ext>
          </a:extLst>
        </xdr:cNvPr>
        <xdr:cNvSpPr>
          <a:spLocks noGrp="1"/>
        </xdr:cNvSpPr>
      </xdr:nvSpPr>
      <xdr:spPr>
        <a:xfrm>
          <a:off x="13287428"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2.png">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219075</xdr:colOff>
      <xdr:row>4</xdr:row>
      <xdr:rowOff>57150</xdr:rowOff>
    </xdr:from>
    <xdr:to>
      <xdr:col>15</xdr:col>
      <xdr:colOff>152400</xdr:colOff>
      <xdr:row>28</xdr:row>
      <xdr:rowOff>28575</xdr:rowOff>
    </xdr:to>
    <xdr:sp macro="" textlink="">
      <xdr:nvSpPr>
        <xdr:cNvPr id="2" name="TextBox 1">
          <a:extLst>
            <a:ext uri="{FF2B5EF4-FFF2-40B4-BE49-F238E27FC236}">
              <a16:creationId xmlns:a16="http://schemas.microsoft.com/office/drawing/2014/main" id="{00000000-0008-0000-1E00-000002000000}"/>
            </a:ext>
          </a:extLst>
        </xdr:cNvPr>
        <xdr:cNvSpPr>
          <a:spLocks noGrp="1"/>
        </xdr:cNvSpPr>
      </xdr:nvSpPr>
      <xdr:spPr>
        <a:xfrm>
          <a:off x="834372" y="1125374"/>
          <a:ext cx="10692480" cy="4791253"/>
        </a:xfrm>
        <a:prstGeom prst="rect">
          <a:avLst/>
        </a:prstGeom>
        <a:solidFill>
          <a:schemeClr val="accent1"/>
        </a:solidFill>
        <a:ln w="9525">
          <a:noFill/>
        </a:ln>
      </xdr:spPr>
      <xdr:style>
        <a:lnRef idx="0">
          <a:scrgbClr r="0" g="0" b="0"/>
        </a:lnRef>
        <a:fillRef idx="0">
          <a:scrgbClr r="0" g="0" b="0"/>
        </a:fillRef>
        <a:effectRef idx="0">
          <a:scrgbClr r="0" g="0" b="0"/>
        </a:effectRef>
        <a:fontRef idx="minor">
          <a:schemeClr val="dk1"/>
        </a:fontRef>
      </xdr:style>
      <xdr:txBody>
        <a:bodyPr wrap="square" anchor="t"/>
        <a:lstStyle/>
        <a:p>
          <a:pPr algn="ctr">
            <a:buNone/>
          </a:pPr>
          <a:r>
            <a:rPr sz="1800">
              <a:solidFill>
                <a:schemeClr val="bg1"/>
              </a:solidFill>
            </a:rPr>
            <a:t>Federal Tax Considerations on IRA inheritance</a:t>
          </a:r>
          <a:endParaRPr/>
        </a:p>
        <a:p>
          <a:endParaRPr/>
        </a:p>
        <a:p>
          <a:pPr algn="ctr">
            <a:buNone/>
          </a:pPr>
          <a:endParaRPr/>
        </a:p>
        <a:p>
          <a:pPr algn="ctr">
            <a:buNone/>
          </a:pPr>
          <a:r>
            <a:rPr sz="1600">
              <a:solidFill>
                <a:schemeClr val="bg1"/>
              </a:solidFill>
            </a:rPr>
            <a:t>1. Your Family will need to add $44,326.00 per year as additional income and add it to their annual income.</a:t>
          </a:r>
          <a:endParaRPr/>
        </a:p>
        <a:p>
          <a:pPr algn="ctr">
            <a:buNone/>
          </a:pPr>
          <a:endParaRPr/>
        </a:p>
        <a:p>
          <a:pPr algn="ctr">
            <a:buNone/>
          </a:pPr>
          <a:r>
            <a:rPr sz="1600">
              <a:solidFill>
                <a:schemeClr val="bg1"/>
              </a:solidFill>
            </a:rPr>
            <a:t>2. The total tax bill on the inherited IRA's is estimated to be $443,260.00 </a:t>
          </a:r>
          <a:endParaRPr/>
        </a:p>
        <a:p>
          <a:pPr algn="ctr">
            <a:buNone/>
          </a:pPr>
          <a:endParaRPr/>
        </a:p>
        <a:p>
          <a:pPr algn="ctr">
            <a:buNone/>
          </a:pPr>
          <a:r>
            <a:rPr sz="1600">
              <a:solidFill>
                <a:schemeClr val="bg1"/>
              </a:solidFill>
            </a:rPr>
            <a:t>3. This does not include the added taxes they will half to pay on their regular income</a:t>
          </a:r>
          <a:endParaRPr/>
        </a:p>
        <a:p>
          <a:pPr algn="ctr">
            <a:buNone/>
          </a:pPr>
          <a:endParaRPr/>
        </a:p>
        <a:p>
          <a:pPr algn="ctr">
            <a:buNone/>
          </a:pPr>
          <a:r>
            <a:rPr sz="1600">
              <a:solidFill>
                <a:schemeClr val="bg1"/>
              </a:solidFill>
            </a:rPr>
            <a:t>4. This does not take into consideration that Tax Rates, are likely to be higher in the future. </a:t>
          </a:r>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F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F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F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F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F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1F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1F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1F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1F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1F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1F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1F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1F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1F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2.png">
          <a:extLst>
            <a:ext uri="{FF2B5EF4-FFF2-40B4-BE49-F238E27FC236}">
              <a16:creationId xmlns:a16="http://schemas.microsoft.com/office/drawing/2014/main" id="{00000000-0008-0000-1F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55</xdr:row>
      <xdr:rowOff>43962</xdr:rowOff>
    </xdr:from>
    <xdr:to>
      <xdr:col>14</xdr:col>
      <xdr:colOff>1949694</xdr:colOff>
      <xdr:row>63</xdr:row>
      <xdr:rowOff>130554</xdr:rowOff>
    </xdr:to>
    <xdr:sp macro="" textlink="">
      <xdr:nvSpPr>
        <xdr:cNvPr id="2" name="Text Box 5">
          <a:extLst>
            <a:ext uri="{FF2B5EF4-FFF2-40B4-BE49-F238E27FC236}">
              <a16:creationId xmlns:a16="http://schemas.microsoft.com/office/drawing/2014/main" id="{00000000-0008-0000-2000-000002000000}"/>
            </a:ext>
          </a:extLst>
        </xdr:cNvPr>
        <xdr:cNvSpPr>
          <a:spLocks noGrp="1"/>
        </xdr:cNvSpPr>
      </xdr:nvSpPr>
      <xdr:spPr>
        <a:xfrm>
          <a:off x="0" y="11197737"/>
          <a:ext cx="16827744"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2</xdr:col>
      <xdr:colOff>93784</xdr:colOff>
      <xdr:row>0</xdr:row>
      <xdr:rowOff>0</xdr:rowOff>
    </xdr:from>
    <xdr:to>
      <xdr:col>2</xdr:col>
      <xdr:colOff>1729739</xdr:colOff>
      <xdr:row>4</xdr:row>
      <xdr:rowOff>117232</xdr:rowOff>
    </xdr:to>
    <xdr:pic>
      <xdr:nvPicPr>
        <xdr:cNvPr id="3" name="/xl/media/image4.jpeg">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100-000003000000}"/>
            </a:ext>
          </a:extLst>
        </xdr:cNvPr>
        <xdr:cNvSpPr>
          <a:spLocks noGrp="1"/>
        </xdr:cNvSpPr>
      </xdr:nvSpPr>
      <xdr:spPr>
        <a:xfrm>
          <a:off x="80682" y="9198349"/>
          <a:ext cx="12715875" cy="149262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35857</xdr:colOff>
      <xdr:row>31</xdr:row>
      <xdr:rowOff>105333</xdr:rowOff>
    </xdr:from>
    <xdr:to>
      <xdr:col>14</xdr:col>
      <xdr:colOff>152399</xdr:colOff>
      <xdr:row>38</xdr:row>
      <xdr:rowOff>116540</xdr:rowOff>
    </xdr:to>
    <xdr:sp macro="" textlink="">
      <xdr:nvSpPr>
        <xdr:cNvPr id="2" name="TextBox 1">
          <a:extLst>
            <a:ext uri="{FF2B5EF4-FFF2-40B4-BE49-F238E27FC236}">
              <a16:creationId xmlns:a16="http://schemas.microsoft.com/office/drawing/2014/main" id="{00000000-0008-0000-2200-000002000000}"/>
            </a:ext>
          </a:extLst>
        </xdr:cNvPr>
        <xdr:cNvSpPr>
          <a:spLocks noGrp="1"/>
        </xdr:cNvSpPr>
      </xdr:nvSpPr>
      <xdr:spPr>
        <a:xfrm>
          <a:off x="35857" y="8258733"/>
          <a:ext cx="14499292" cy="156378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oneCellAnchor>
    <xdr:from>
      <xdr:col>0</xdr:col>
      <xdr:colOff>8965</xdr:colOff>
      <xdr:row>18</xdr:row>
      <xdr:rowOff>152400</xdr:rowOff>
    </xdr:from>
    <xdr:ext cx="14827623" cy="2160494"/>
    <xdr:sp macro="" textlink="">
      <xdr:nvSpPr>
        <xdr:cNvPr id="3" name="TextBox 3">
          <a:extLst>
            <a:ext uri="{FF2B5EF4-FFF2-40B4-BE49-F238E27FC236}">
              <a16:creationId xmlns:a16="http://schemas.microsoft.com/office/drawing/2014/main" id="{00000000-0008-0000-2200-000003000000}"/>
            </a:ext>
          </a:extLst>
        </xdr:cNvPr>
        <xdr:cNvSpPr>
          <a:spLocks noGrp="1"/>
        </xdr:cNvSpPr>
      </xdr:nvSpPr>
      <xdr:spPr>
        <a:xfrm>
          <a:off x="8965" y="4943475"/>
          <a:ext cx="14827623" cy="216049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78</xdr:row>
      <xdr:rowOff>0</xdr:rowOff>
    </xdr:from>
    <xdr:to>
      <xdr:col>5</xdr:col>
      <xdr:colOff>176306</xdr:colOff>
      <xdr:row>107</xdr:row>
      <xdr:rowOff>140447</xdr:rowOff>
    </xdr:to>
    <xdr:pic>
      <xdr:nvPicPr>
        <xdr:cNvPr id="4" name="/xl/media/image8.jpg">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289560</xdr:colOff>
      <xdr:row>17</xdr:row>
      <xdr:rowOff>7620</xdr:rowOff>
    </xdr:from>
    <xdr:to>
      <xdr:col>12</xdr:col>
      <xdr:colOff>774192</xdr:colOff>
      <xdr:row>21</xdr:row>
      <xdr:rowOff>0</xdr:rowOff>
    </xdr:to>
    <xdr:sp macro="" textlink="">
      <xdr:nvSpPr>
        <xdr:cNvPr id="2" name="Arrow: Down 2">
          <a:extLst>
            <a:ext uri="{FF2B5EF4-FFF2-40B4-BE49-F238E27FC236}">
              <a16:creationId xmlns:a16="http://schemas.microsoft.com/office/drawing/2014/main" id="{00000000-0008-0000-0200-000002000000}"/>
            </a:ext>
          </a:extLst>
        </xdr:cNvPr>
        <xdr:cNvSpPr>
          <a:spLocks noGrp="1"/>
        </xdr:cNvSpPr>
      </xdr:nvSpPr>
      <xdr:spPr>
        <a:xfrm>
          <a:off x="11940540" y="4099560"/>
          <a:ext cx="484632" cy="6781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16</xdr:row>
      <xdr:rowOff>0</xdr:rowOff>
    </xdr:from>
    <xdr:to>
      <xdr:col>13</xdr:col>
      <xdr:colOff>614172</xdr:colOff>
      <xdr:row>20</xdr:row>
      <xdr:rowOff>152400</xdr:rowOff>
    </xdr:to>
    <xdr:sp macro="" textlink="">
      <xdr:nvSpPr>
        <xdr:cNvPr id="3" name="Arrow: Down 3">
          <a:extLst>
            <a:ext uri="{FF2B5EF4-FFF2-40B4-BE49-F238E27FC236}">
              <a16:creationId xmlns:a16="http://schemas.microsoft.com/office/drawing/2014/main" id="{00000000-0008-0000-0200-000003000000}"/>
            </a:ext>
          </a:extLst>
        </xdr:cNvPr>
        <xdr:cNvSpPr>
          <a:spLocks noGrp="1"/>
        </xdr:cNvSpPr>
      </xdr:nvSpPr>
      <xdr:spPr>
        <a:xfrm>
          <a:off x="12733020" y="4091940"/>
          <a:ext cx="484632" cy="67056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17</xdr:row>
      <xdr:rowOff>7620</xdr:rowOff>
    </xdr:from>
    <xdr:to>
      <xdr:col>14</xdr:col>
      <xdr:colOff>667512</xdr:colOff>
      <xdr:row>20</xdr:row>
      <xdr:rowOff>152400</xdr:rowOff>
    </xdr:to>
    <xdr:sp macro="" textlink="">
      <xdr:nvSpPr>
        <xdr:cNvPr id="4" name="Arrow: Down 4">
          <a:extLst>
            <a:ext uri="{FF2B5EF4-FFF2-40B4-BE49-F238E27FC236}">
              <a16:creationId xmlns:a16="http://schemas.microsoft.com/office/drawing/2014/main" id="{00000000-0008-0000-0200-000004000000}"/>
            </a:ext>
          </a:extLst>
        </xdr:cNvPr>
        <xdr:cNvSpPr>
          <a:spLocks noGrp="1"/>
        </xdr:cNvSpPr>
      </xdr:nvSpPr>
      <xdr:spPr>
        <a:xfrm>
          <a:off x="13479780" y="4099560"/>
          <a:ext cx="484632" cy="66294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17</xdr:row>
      <xdr:rowOff>91440</xdr:rowOff>
    </xdr:from>
    <xdr:to>
      <xdr:col>13</xdr:col>
      <xdr:colOff>190500</xdr:colOff>
      <xdr:row>19</xdr:row>
      <xdr:rowOff>53340</xdr:rowOff>
    </xdr:to>
    <xdr:sp macro="" textlink="">
      <xdr:nvSpPr>
        <xdr:cNvPr id="5" name="Minus Sign 5">
          <a:extLst>
            <a:ext uri="{FF2B5EF4-FFF2-40B4-BE49-F238E27FC236}">
              <a16:creationId xmlns:a16="http://schemas.microsoft.com/office/drawing/2014/main" id="{00000000-0008-0000-0200-000005000000}"/>
            </a:ext>
          </a:extLst>
        </xdr:cNvPr>
        <xdr:cNvSpPr>
          <a:spLocks noGrp="1"/>
        </xdr:cNvSpPr>
      </xdr:nvSpPr>
      <xdr:spPr>
        <a:xfrm>
          <a:off x="12367260" y="418338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17</xdr:row>
      <xdr:rowOff>114300</xdr:rowOff>
    </xdr:from>
    <xdr:to>
      <xdr:col>14</xdr:col>
      <xdr:colOff>289560</xdr:colOff>
      <xdr:row>19</xdr:row>
      <xdr:rowOff>53340</xdr:rowOff>
    </xdr:to>
    <xdr:sp macro="" textlink="">
      <xdr:nvSpPr>
        <xdr:cNvPr id="6" name="Equals 6">
          <a:extLst>
            <a:ext uri="{FF2B5EF4-FFF2-40B4-BE49-F238E27FC236}">
              <a16:creationId xmlns:a16="http://schemas.microsoft.com/office/drawing/2014/main" id="{00000000-0008-0000-0200-000006000000}"/>
            </a:ext>
          </a:extLst>
        </xdr:cNvPr>
        <xdr:cNvSpPr>
          <a:spLocks noGrp="1"/>
        </xdr:cNvSpPr>
      </xdr:nvSpPr>
      <xdr:spPr>
        <a:xfrm>
          <a:off x="13106400" y="420624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62</xdr:row>
      <xdr:rowOff>2710</xdr:rowOff>
    </xdr:to>
    <xdr:pic>
      <xdr:nvPicPr>
        <xdr:cNvPr id="7" name="/xl/media/image2.png">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3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3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3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3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3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3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3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3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3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3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3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3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3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3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2.png">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4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4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4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4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4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400-000007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400-000008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400-000009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3">
          <a:extLst>
            <a:ext uri="{FF2B5EF4-FFF2-40B4-BE49-F238E27FC236}">
              <a16:creationId xmlns:a16="http://schemas.microsoft.com/office/drawing/2014/main" id="{00000000-0008-0000-2400-00000A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4">
          <a:extLst>
            <a:ext uri="{FF2B5EF4-FFF2-40B4-BE49-F238E27FC236}">
              <a16:creationId xmlns:a16="http://schemas.microsoft.com/office/drawing/2014/main" id="{00000000-0008-0000-2400-00000B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5">
          <a:extLst>
            <a:ext uri="{FF2B5EF4-FFF2-40B4-BE49-F238E27FC236}">
              <a16:creationId xmlns:a16="http://schemas.microsoft.com/office/drawing/2014/main" id="{00000000-0008-0000-2400-00000C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9">
          <a:extLst>
            <a:ext uri="{FF2B5EF4-FFF2-40B4-BE49-F238E27FC236}">
              <a16:creationId xmlns:a16="http://schemas.microsoft.com/office/drawing/2014/main" id="{00000000-0008-0000-2400-00000D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20">
          <a:extLst>
            <a:ext uri="{FF2B5EF4-FFF2-40B4-BE49-F238E27FC236}">
              <a16:creationId xmlns:a16="http://schemas.microsoft.com/office/drawing/2014/main" id="{00000000-0008-0000-2400-00000E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21">
          <a:extLst>
            <a:ext uri="{FF2B5EF4-FFF2-40B4-BE49-F238E27FC236}">
              <a16:creationId xmlns:a16="http://schemas.microsoft.com/office/drawing/2014/main" id="{00000000-0008-0000-2400-00000F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2.png">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35857</xdr:colOff>
      <xdr:row>31</xdr:row>
      <xdr:rowOff>105333</xdr:rowOff>
    </xdr:from>
    <xdr:to>
      <xdr:col>14</xdr:col>
      <xdr:colOff>152399</xdr:colOff>
      <xdr:row>38</xdr:row>
      <xdr:rowOff>116540</xdr:rowOff>
    </xdr:to>
    <xdr:sp macro="" textlink="">
      <xdr:nvSpPr>
        <xdr:cNvPr id="2" name="TextBox 1">
          <a:extLst>
            <a:ext uri="{FF2B5EF4-FFF2-40B4-BE49-F238E27FC236}">
              <a16:creationId xmlns:a16="http://schemas.microsoft.com/office/drawing/2014/main" id="{00000000-0008-0000-2500-000002000000}"/>
            </a:ext>
          </a:extLst>
        </xdr:cNvPr>
        <xdr:cNvSpPr>
          <a:spLocks noGrp="1"/>
        </xdr:cNvSpPr>
      </xdr:nvSpPr>
      <xdr:spPr>
        <a:xfrm>
          <a:off x="35857" y="8334933"/>
          <a:ext cx="14890377" cy="158899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oneCellAnchor>
    <xdr:from>
      <xdr:col>0</xdr:col>
      <xdr:colOff>8965</xdr:colOff>
      <xdr:row>18</xdr:row>
      <xdr:rowOff>152400</xdr:rowOff>
    </xdr:from>
    <xdr:ext cx="14827623" cy="2160494"/>
    <xdr:sp macro="" textlink="">
      <xdr:nvSpPr>
        <xdr:cNvPr id="3" name="TextBox 3">
          <a:extLst>
            <a:ext uri="{FF2B5EF4-FFF2-40B4-BE49-F238E27FC236}">
              <a16:creationId xmlns:a16="http://schemas.microsoft.com/office/drawing/2014/main" id="{00000000-0008-0000-2500-000003000000}"/>
            </a:ext>
          </a:extLst>
        </xdr:cNvPr>
        <xdr:cNvSpPr>
          <a:spLocks noGrp="1"/>
        </xdr:cNvSpPr>
      </xdr:nvSpPr>
      <xdr:spPr>
        <a:xfrm>
          <a:off x="8965" y="5091953"/>
          <a:ext cx="14827623" cy="216049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78</xdr:row>
      <xdr:rowOff>0</xdr:rowOff>
    </xdr:from>
    <xdr:to>
      <xdr:col>5</xdr:col>
      <xdr:colOff>176306</xdr:colOff>
      <xdr:row>107</xdr:row>
      <xdr:rowOff>140447</xdr:rowOff>
    </xdr:to>
    <xdr:pic>
      <xdr:nvPicPr>
        <xdr:cNvPr id="4" name="/xl/media/image8.jpg">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6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7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7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7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7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7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7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7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7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7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7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7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7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7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7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2.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35858</xdr:colOff>
      <xdr:row>26</xdr:row>
      <xdr:rowOff>212910</xdr:rowOff>
    </xdr:from>
    <xdr:to>
      <xdr:col>13</xdr:col>
      <xdr:colOff>1057836</xdr:colOff>
      <xdr:row>33</xdr:row>
      <xdr:rowOff>62753</xdr:rowOff>
    </xdr:to>
    <xdr:sp macro="" textlink="">
      <xdr:nvSpPr>
        <xdr:cNvPr id="2" name="TextBox 2">
          <a:extLst>
            <a:ext uri="{FF2B5EF4-FFF2-40B4-BE49-F238E27FC236}">
              <a16:creationId xmlns:a16="http://schemas.microsoft.com/office/drawing/2014/main" id="{00000000-0008-0000-2800-000002000000}"/>
            </a:ext>
          </a:extLst>
        </xdr:cNvPr>
        <xdr:cNvSpPr>
          <a:spLocks noGrp="1"/>
        </xdr:cNvSpPr>
      </xdr:nvSpPr>
      <xdr:spPr>
        <a:xfrm>
          <a:off x="35858" y="7142628"/>
          <a:ext cx="14684190" cy="1508313"/>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twoCellAnchor editAs="oneCell">
    <xdr:from>
      <xdr:col>0</xdr:col>
      <xdr:colOff>0</xdr:colOff>
      <xdr:row>78</xdr:row>
      <xdr:rowOff>0</xdr:rowOff>
    </xdr:from>
    <xdr:to>
      <xdr:col>5</xdr:col>
      <xdr:colOff>176306</xdr:colOff>
      <xdr:row>107</xdr:row>
      <xdr:rowOff>140447</xdr:rowOff>
    </xdr:to>
    <xdr:pic>
      <xdr:nvPicPr>
        <xdr:cNvPr id="3" name="/xl/media/image8.jpg">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9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A00-000002000000}"/>
            </a:ext>
          </a:extLst>
        </xdr:cNvPr>
        <xdr:cNvSpPr>
          <a:spLocks noGrp="1"/>
        </xdr:cNvSpPr>
      </xdr:nvSpPr>
      <xdr:spPr>
        <a:xfrm>
          <a:off x="11424285" y="4960620"/>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A00-000003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A00-000004000000}"/>
            </a:ext>
          </a:extLst>
        </xdr:cNvPr>
        <xdr:cNvSpPr>
          <a:spLocks noGrp="1"/>
        </xdr:cNvSpPr>
      </xdr:nvSpPr>
      <xdr:spPr>
        <a:xfrm>
          <a:off x="12917805" y="4960620"/>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A00-000005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A00-000006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A00-000007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A00-000008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A00-000009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A00-00000A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A00-00000B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A00-00000C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A00-00000D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A00-00000E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A00-00000F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4</xdr:col>
      <xdr:colOff>7620</xdr:colOff>
      <xdr:row>61</xdr:row>
      <xdr:rowOff>101770</xdr:rowOff>
    </xdr:to>
    <xdr:pic>
      <xdr:nvPicPr>
        <xdr:cNvPr id="16" name="/xl/media/image2.png">
          <a:extLst>
            <a:ext uri="{FF2B5EF4-FFF2-40B4-BE49-F238E27FC236}">
              <a16:creationId xmlns:a16="http://schemas.microsoft.com/office/drawing/2014/main" id="{00000000-0008-0000-2A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B00-000002000000}"/>
            </a:ext>
          </a:extLst>
        </xdr:cNvPr>
        <xdr:cNvSpPr>
          <a:spLocks noGrp="1"/>
        </xdr:cNvSpPr>
      </xdr:nvSpPr>
      <xdr:spPr>
        <a:xfrm>
          <a:off x="117119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B00-000003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B00-000004000000}"/>
            </a:ext>
          </a:extLst>
        </xdr:cNvPr>
        <xdr:cNvSpPr>
          <a:spLocks noGrp="1"/>
        </xdr:cNvSpPr>
      </xdr:nvSpPr>
      <xdr:spPr>
        <a:xfrm>
          <a:off x="132511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B00-000005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B00-000006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B00-000007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B00-000008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B00-000009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B00-00000A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B00-00000B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B00-00000C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B00-00000D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B00-00000E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B00-00000F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4</xdr:col>
      <xdr:colOff>7620</xdr:colOff>
      <xdr:row>61</xdr:row>
      <xdr:rowOff>101770</xdr:rowOff>
    </xdr:to>
    <xdr:pic>
      <xdr:nvPicPr>
        <xdr:cNvPr id="16" name="/xl/media/image2.png">
          <a:extLst>
            <a:ext uri="{FF2B5EF4-FFF2-40B4-BE49-F238E27FC236}">
              <a16:creationId xmlns:a16="http://schemas.microsoft.com/office/drawing/2014/main" id="{00000000-0008-0000-2B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C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C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C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C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C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2.png">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286310</xdr:rowOff>
    </xdr:from>
    <xdr:to>
      <xdr:col>8</xdr:col>
      <xdr:colOff>0</xdr:colOff>
      <xdr:row>42</xdr:row>
      <xdr:rowOff>125507</xdr:rowOff>
    </xdr:to>
    <xdr:graphicFrame macro="">
      <xdr:nvGraphicFramePr>
        <xdr:cNvPr id="2" name="Chart">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0300-000003000000}"/>
            </a:ext>
          </a:extLst>
        </xdr:cNvPr>
        <xdr:cNvSpPr>
          <a:spLocks noGrp="1"/>
        </xdr:cNvSpPr>
      </xdr:nvSpPr>
      <xdr:spPr>
        <a:xfrm>
          <a:off x="80682" y="8275768"/>
          <a:ext cx="1227582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0</xdr:col>
      <xdr:colOff>89648</xdr:colOff>
      <xdr:row>10</xdr:row>
      <xdr:rowOff>71718</xdr:rowOff>
    </xdr:from>
    <xdr:to>
      <xdr:col>1</xdr:col>
      <xdr:colOff>286871</xdr:colOff>
      <xdr:row>11</xdr:row>
      <xdr:rowOff>259977</xdr:rowOff>
    </xdr:to>
    <xdr:sp macro="" textlink="">
      <xdr:nvSpPr>
        <xdr:cNvPr id="4" name="Rectangle 3">
          <a:extLst>
            <a:ext uri="{FF2B5EF4-FFF2-40B4-BE49-F238E27FC236}">
              <a16:creationId xmlns:a16="http://schemas.microsoft.com/office/drawing/2014/main" id="{00000000-0008-0000-0300-000004000000}"/>
            </a:ext>
          </a:extLst>
        </xdr:cNvPr>
        <xdr:cNvSpPr>
          <a:spLocks noGrp="1"/>
        </xdr:cNvSpPr>
      </xdr:nvSpPr>
      <xdr:spPr>
        <a:xfrm>
          <a:off x="89648" y="2348753"/>
          <a:ext cx="1398494" cy="519953"/>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chemeClr val="tx1"/>
              </a:solidFill>
            </a:rPr>
            <a:t>Green - Protected Safe Money</a:t>
          </a:r>
          <a:endParaRPr/>
        </a:p>
      </xdr:txBody>
    </xdr:sp>
    <xdr:clientData/>
  </xdr:twoCellAnchor>
  <xdr:twoCellAnchor editAs="oneCell">
    <xdr:from>
      <xdr:col>2</xdr:col>
      <xdr:colOff>152401</xdr:colOff>
      <xdr:row>8</xdr:row>
      <xdr:rowOff>17929</xdr:rowOff>
    </xdr:from>
    <xdr:to>
      <xdr:col>3</xdr:col>
      <xdr:colOff>609600</xdr:colOff>
      <xdr:row>10</xdr:row>
      <xdr:rowOff>242047</xdr:rowOff>
    </xdr:to>
    <xdr:sp macro="" textlink="">
      <xdr:nvSpPr>
        <xdr:cNvPr id="5" name="Rectangle 4">
          <a:extLst>
            <a:ext uri="{FF2B5EF4-FFF2-40B4-BE49-F238E27FC236}">
              <a16:creationId xmlns:a16="http://schemas.microsoft.com/office/drawing/2014/main" id="{00000000-0008-0000-0300-000005000000}"/>
            </a:ext>
          </a:extLst>
        </xdr:cNvPr>
        <xdr:cNvSpPr>
          <a:spLocks noGrp="1"/>
        </xdr:cNvSpPr>
      </xdr:nvSpPr>
      <xdr:spPr>
        <a:xfrm>
          <a:off x="2554942" y="1837764"/>
          <a:ext cx="1703293" cy="681318"/>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twoCellAnchor editAs="oneCell">
    <xdr:from>
      <xdr:col>1</xdr:col>
      <xdr:colOff>367553</xdr:colOff>
      <xdr:row>22</xdr:row>
      <xdr:rowOff>80682</xdr:rowOff>
    </xdr:from>
    <xdr:to>
      <xdr:col>5</xdr:col>
      <xdr:colOff>179294</xdr:colOff>
      <xdr:row>30</xdr:row>
      <xdr:rowOff>46170</xdr:rowOff>
    </xdr:to>
    <xdr:sp macro="" textlink="">
      <xdr:nvSpPr>
        <xdr:cNvPr id="6" name="Rectangle 5">
          <a:extLst>
            <a:ext uri="{FF2B5EF4-FFF2-40B4-BE49-F238E27FC236}">
              <a16:creationId xmlns:a16="http://schemas.microsoft.com/office/drawing/2014/main" id="{00000000-0008-0000-0300-000006000000}"/>
            </a:ext>
          </a:extLst>
        </xdr:cNvPr>
        <xdr:cNvSpPr>
          <a:spLocks noGrp="1"/>
        </xdr:cNvSpPr>
      </xdr:nvSpPr>
      <xdr:spPr>
        <a:xfrm>
          <a:off x="1568824" y="5360894"/>
          <a:ext cx="3514164" cy="1713605"/>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Green - Protected Safe Hedge Bucket Money</a:t>
          </a:r>
          <a:endParaRPr/>
        </a:p>
        <a:p>
          <a:pPr algn="ctr">
            <a:buNone/>
          </a:pPr>
          <a:r>
            <a:rPr sz="1400" b="1">
              <a:solidFill>
                <a:schemeClr val="tx1"/>
              </a:solidFill>
            </a:rPr>
            <a:t>Principal and Income is Protected</a:t>
          </a:r>
          <a:endParaRPr/>
        </a:p>
        <a:p>
          <a:pPr algn="ctr">
            <a:buNone/>
          </a:pPr>
          <a:r>
            <a:rPr sz="1400" b="1">
              <a:solidFill>
                <a:schemeClr val="tx1"/>
              </a:solidFill>
            </a:rPr>
            <a:t>$225,000 repositioned from Deborah's 401k "In Service Distribution" add in 7% bonus ($15,750) and your new balance will be $240,750.00. Annuity Pays $15,042.06</a:t>
          </a:r>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D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D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D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D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D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2.png">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E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F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F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F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F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F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2.png">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30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1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8.jpg">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2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8.jpg">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322170</xdr:rowOff>
    </xdr:from>
    <xdr:to>
      <xdr:col>8</xdr:col>
      <xdr:colOff>0</xdr:colOff>
      <xdr:row>42</xdr:row>
      <xdr:rowOff>161367</xdr:rowOff>
    </xdr:to>
    <xdr:graphicFrame macro="">
      <xdr:nvGraphicFramePr>
        <xdr:cNvPr id="2" name="Chart">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3300-000003000000}"/>
            </a:ext>
          </a:extLst>
        </xdr:cNvPr>
        <xdr:cNvSpPr>
          <a:spLocks noGrp="1"/>
        </xdr:cNvSpPr>
      </xdr:nvSpPr>
      <xdr:spPr>
        <a:xfrm>
          <a:off x="80682" y="8275768"/>
          <a:ext cx="1227582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0</xdr:col>
      <xdr:colOff>573740</xdr:colOff>
      <xdr:row>5</xdr:row>
      <xdr:rowOff>107578</xdr:rowOff>
    </xdr:from>
    <xdr:to>
      <xdr:col>2</xdr:col>
      <xdr:colOff>744070</xdr:colOff>
      <xdr:row>7</xdr:row>
      <xdr:rowOff>242047</xdr:rowOff>
    </xdr:to>
    <xdr:sp macro="" textlink="">
      <xdr:nvSpPr>
        <xdr:cNvPr id="4" name="Rectangle 3">
          <a:extLst>
            <a:ext uri="{FF2B5EF4-FFF2-40B4-BE49-F238E27FC236}">
              <a16:creationId xmlns:a16="http://schemas.microsoft.com/office/drawing/2014/main" id="{00000000-0008-0000-3300-000004000000}"/>
            </a:ext>
          </a:extLst>
        </xdr:cNvPr>
        <xdr:cNvSpPr>
          <a:spLocks noGrp="1"/>
        </xdr:cNvSpPr>
      </xdr:nvSpPr>
      <xdr:spPr>
        <a:xfrm>
          <a:off x="573740" y="1380566"/>
          <a:ext cx="2572871" cy="6006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l">
            <a:buNone/>
          </a:pPr>
          <a:r>
            <a:rPr sz="1100" b="1">
              <a:solidFill>
                <a:schemeClr val="tx1"/>
              </a:solidFill>
            </a:rPr>
            <a:t>Green - Hedge Plan Money</a:t>
          </a:r>
          <a:endParaRPr/>
        </a:p>
      </xdr:txBody>
    </xdr:sp>
    <xdr:clientData/>
  </xdr:twoCellAnchor>
  <xdr:twoCellAnchor editAs="oneCell">
    <xdr:from>
      <xdr:col>0</xdr:col>
      <xdr:colOff>977154</xdr:colOff>
      <xdr:row>15</xdr:row>
      <xdr:rowOff>188259</xdr:rowOff>
    </xdr:from>
    <xdr:to>
      <xdr:col>2</xdr:col>
      <xdr:colOff>950259</xdr:colOff>
      <xdr:row>17</xdr:row>
      <xdr:rowOff>116541</xdr:rowOff>
    </xdr:to>
    <xdr:sp macro="" textlink="">
      <xdr:nvSpPr>
        <xdr:cNvPr id="5" name="Rectangle 4">
          <a:extLst>
            <a:ext uri="{FF2B5EF4-FFF2-40B4-BE49-F238E27FC236}">
              <a16:creationId xmlns:a16="http://schemas.microsoft.com/office/drawing/2014/main" id="{00000000-0008-0000-3300-000005000000}"/>
            </a:ext>
          </a:extLst>
        </xdr:cNvPr>
        <xdr:cNvSpPr>
          <a:spLocks noGrp="1"/>
        </xdr:cNvSpPr>
      </xdr:nvSpPr>
      <xdr:spPr>
        <a:xfrm>
          <a:off x="977154" y="4025153"/>
          <a:ext cx="2375646" cy="4572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800" b="1">
              <a:solidFill>
                <a:sysClr val="windowText" lastClr="000000"/>
              </a:solidFill>
            </a:rPr>
            <a:t>Red - Market Sensitive Risk Money</a:t>
          </a:r>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4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8.jpg">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5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137160</xdr:colOff>
      <xdr:row>0</xdr:row>
      <xdr:rowOff>0</xdr:rowOff>
    </xdr:from>
    <xdr:to>
      <xdr:col>3</xdr:col>
      <xdr:colOff>754380</xdr:colOff>
      <xdr:row>6</xdr:row>
      <xdr:rowOff>114300</xdr:rowOff>
    </xdr:to>
    <xdr:pic>
      <xdr:nvPicPr>
        <xdr:cNvPr id="3" name="/xl/media/image8.jpg">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6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114300</xdr:colOff>
      <xdr:row>0</xdr:row>
      <xdr:rowOff>0</xdr:rowOff>
    </xdr:from>
    <xdr:to>
      <xdr:col>3</xdr:col>
      <xdr:colOff>731520</xdr:colOff>
      <xdr:row>6</xdr:row>
      <xdr:rowOff>114300</xdr:rowOff>
    </xdr:to>
    <xdr:pic>
      <xdr:nvPicPr>
        <xdr:cNvPr id="3" name="/xl/media/image8.jpg">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2</xdr:col>
      <xdr:colOff>381000</xdr:colOff>
      <xdr:row>1</xdr:row>
      <xdr:rowOff>76200</xdr:rowOff>
    </xdr:to>
    <xdr:sp macro="" textlink="">
      <xdr:nvSpPr>
        <xdr:cNvPr id="2" name="TextBox 1">
          <a:extLst>
            <a:ext uri="{FF2B5EF4-FFF2-40B4-BE49-F238E27FC236}">
              <a16:creationId xmlns:a16="http://schemas.microsoft.com/office/drawing/2014/main" id="{00000000-0008-0000-0400-000002000000}"/>
            </a:ext>
          </a:extLst>
        </xdr:cNvPr>
        <xdr:cNvSpPr>
          <a:spLocks noGrp="1"/>
        </xdr:cNvSpPr>
      </xdr:nvSpPr>
      <xdr:spPr>
        <a:xfrm>
          <a:off x="619125" y="152400"/>
          <a:ext cx="981075" cy="9144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xdr:txBody>
    </xdr:sp>
    <xdr:clientData/>
  </xdr:twoCellAnchor>
  <xdr:oneCellAnchor>
    <xdr:from>
      <xdr:col>0</xdr:col>
      <xdr:colOff>9525</xdr:colOff>
      <xdr:row>0</xdr:row>
      <xdr:rowOff>1227</xdr:rowOff>
    </xdr:from>
    <xdr:ext cx="10296525" cy="1294173"/>
    <xdr:sp macro="" textlink="">
      <xdr:nvSpPr>
        <xdr:cNvPr id="3" name="TextBox 2">
          <a:extLst>
            <a:ext uri="{FF2B5EF4-FFF2-40B4-BE49-F238E27FC236}">
              <a16:creationId xmlns:a16="http://schemas.microsoft.com/office/drawing/2014/main" id="{00000000-0008-0000-0400-000003000000}"/>
            </a:ext>
          </a:extLst>
        </xdr:cNvPr>
        <xdr:cNvSpPr>
          <a:spLocks noGrp="1"/>
        </xdr:cNvSpPr>
      </xdr:nvSpPr>
      <xdr:spPr>
        <a:xfrm>
          <a:off x="9525" y="1227"/>
          <a:ext cx="10296525" cy="12941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2000"/>
            <a:t>		</a:t>
          </a:r>
          <a:endParaRPr/>
        </a:p>
        <a:p>
          <a:pPr algn="ctr">
            <a:buNone/>
          </a:pPr>
          <a:r>
            <a:rPr sz="2000" b="1"/>
            <a:t>Inflation Loss - Losing Money Safely keeping it in the Bank</a:t>
          </a:r>
          <a:endParaRPr/>
        </a:p>
      </xdr:txBody>
    </xdr:sp>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7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8.jpg">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8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137160</xdr:colOff>
      <xdr:row>0</xdr:row>
      <xdr:rowOff>0</xdr:rowOff>
    </xdr:from>
    <xdr:to>
      <xdr:col>3</xdr:col>
      <xdr:colOff>754380</xdr:colOff>
      <xdr:row>6</xdr:row>
      <xdr:rowOff>114300</xdr:rowOff>
    </xdr:to>
    <xdr:pic>
      <xdr:nvPicPr>
        <xdr:cNvPr id="3" name="/xl/media/image8.jpg">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9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114300</xdr:colOff>
      <xdr:row>0</xdr:row>
      <xdr:rowOff>0</xdr:rowOff>
    </xdr:from>
    <xdr:to>
      <xdr:col>3</xdr:col>
      <xdr:colOff>731520</xdr:colOff>
      <xdr:row>6</xdr:row>
      <xdr:rowOff>114300</xdr:rowOff>
    </xdr:to>
    <xdr:pic>
      <xdr:nvPicPr>
        <xdr:cNvPr id="3" name="/xl/media/image8.jpg">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xdr:row>
      <xdr:rowOff>8963</xdr:rowOff>
    </xdr:from>
    <xdr:to>
      <xdr:col>8</xdr:col>
      <xdr:colOff>0</xdr:colOff>
      <xdr:row>30</xdr:row>
      <xdr:rowOff>80681</xdr:rowOff>
    </xdr:to>
    <xdr:graphicFrame macro="">
      <xdr:nvGraphicFramePr>
        <xdr:cNvPr id="2" name="Chart">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xdr:colOff>
      <xdr:row>30</xdr:row>
      <xdr:rowOff>105334</xdr:rowOff>
    </xdr:from>
    <xdr:to>
      <xdr:col>13</xdr:col>
      <xdr:colOff>35858</xdr:colOff>
      <xdr:row>35</xdr:row>
      <xdr:rowOff>143436</xdr:rowOff>
    </xdr:to>
    <xdr:sp macro="" textlink="">
      <xdr:nvSpPr>
        <xdr:cNvPr id="3" name="TextBox 2">
          <a:extLst>
            <a:ext uri="{FF2B5EF4-FFF2-40B4-BE49-F238E27FC236}">
              <a16:creationId xmlns:a16="http://schemas.microsoft.com/office/drawing/2014/main" id="{00000000-0008-0000-3A00-000003000000}"/>
            </a:ext>
          </a:extLst>
        </xdr:cNvPr>
        <xdr:cNvSpPr>
          <a:spLocks noGrp="1"/>
        </xdr:cNvSpPr>
      </xdr:nvSpPr>
      <xdr:spPr>
        <a:xfrm>
          <a:off x="35858" y="7734299"/>
          <a:ext cx="13106400" cy="114972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xdr:col>
      <xdr:colOff>53789</xdr:colOff>
      <xdr:row>16</xdr:row>
      <xdr:rowOff>179294</xdr:rowOff>
    </xdr:from>
    <xdr:to>
      <xdr:col>5</xdr:col>
      <xdr:colOff>537882</xdr:colOff>
      <xdr:row>23</xdr:row>
      <xdr:rowOff>108924</xdr:rowOff>
    </xdr:to>
    <xdr:sp macro="" textlink="">
      <xdr:nvSpPr>
        <xdr:cNvPr id="4" name="Rectangle 5">
          <a:extLst>
            <a:ext uri="{FF2B5EF4-FFF2-40B4-BE49-F238E27FC236}">
              <a16:creationId xmlns:a16="http://schemas.microsoft.com/office/drawing/2014/main" id="{00000000-0008-0000-3A00-000004000000}"/>
            </a:ext>
          </a:extLst>
        </xdr:cNvPr>
        <xdr:cNvSpPr>
          <a:spLocks noGrp="1"/>
        </xdr:cNvSpPr>
      </xdr:nvSpPr>
      <xdr:spPr>
        <a:xfrm>
          <a:off x="1255060" y="4473388"/>
          <a:ext cx="4186516" cy="1731536"/>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Plan B - Green - Protected Hedge Bucket Money</a:t>
          </a:r>
          <a:endParaRPr/>
        </a:p>
        <a:p>
          <a:pPr algn="ctr">
            <a:buNone/>
          </a:pPr>
          <a:r>
            <a:rPr sz="1400" b="1">
              <a:solidFill>
                <a:schemeClr val="tx1"/>
              </a:solidFill>
            </a:rPr>
            <a:t>Principal and Income is Protected from Market Risk</a:t>
          </a:r>
          <a:endParaRPr/>
        </a:p>
        <a:p>
          <a:pPr algn="ctr">
            <a:buNone/>
          </a:pPr>
          <a:r>
            <a:rPr sz="1400" b="1">
              <a:solidFill>
                <a:schemeClr val="tx1"/>
              </a:solidFill>
            </a:rPr>
            <a:t>$200,000 repositioned from Mary's 401k </a:t>
          </a:r>
          <a:endParaRPr/>
        </a:p>
        <a:p>
          <a:pPr algn="ctr">
            <a:buNone/>
          </a:pPr>
          <a:r>
            <a:rPr sz="1400" b="1">
              <a:solidFill>
                <a:schemeClr val="tx1"/>
              </a:solidFill>
            </a:rPr>
            <a:t>$100,000 repositioned from Greg's 401k</a:t>
          </a:r>
          <a:endParaRPr/>
        </a:p>
        <a:p>
          <a:pPr algn="ctr">
            <a:buNone/>
          </a:pPr>
          <a:r>
            <a:rPr sz="1400" b="1">
              <a:solidFill>
                <a:schemeClr val="tx1"/>
              </a:solidFill>
            </a:rPr>
            <a:t>$300,000 repositioned from non-performing                     savings vehicles </a:t>
          </a:r>
          <a:endParaRPr/>
        </a:p>
      </xdr:txBody>
    </xdr:sp>
    <xdr:clientData/>
  </xdr:twoCellAnchor>
  <xdr:twoCellAnchor editAs="oneCell">
    <xdr:from>
      <xdr:col>13</xdr:col>
      <xdr:colOff>286871</xdr:colOff>
      <xdr:row>0</xdr:row>
      <xdr:rowOff>0</xdr:rowOff>
    </xdr:from>
    <xdr:to>
      <xdr:col>18</xdr:col>
      <xdr:colOff>484094</xdr:colOff>
      <xdr:row>10</xdr:row>
      <xdr:rowOff>53789</xdr:rowOff>
    </xdr:to>
    <xdr:pic>
      <xdr:nvPicPr>
        <xdr:cNvPr id="5" name="/xl/media/image8.jpg">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3</xdr:row>
      <xdr:rowOff>8963</xdr:rowOff>
    </xdr:from>
    <xdr:to>
      <xdr:col>8</xdr:col>
      <xdr:colOff>0</xdr:colOff>
      <xdr:row>30</xdr:row>
      <xdr:rowOff>26893</xdr:rowOff>
    </xdr:to>
    <xdr:graphicFrame macro="">
      <xdr:nvGraphicFramePr>
        <xdr:cNvPr id="2" name="Chart">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xdr:colOff>
      <xdr:row>30</xdr:row>
      <xdr:rowOff>105334</xdr:rowOff>
    </xdr:from>
    <xdr:to>
      <xdr:col>13</xdr:col>
      <xdr:colOff>35858</xdr:colOff>
      <xdr:row>35</xdr:row>
      <xdr:rowOff>143436</xdr:rowOff>
    </xdr:to>
    <xdr:sp macro="" textlink="">
      <xdr:nvSpPr>
        <xdr:cNvPr id="3" name="TextBox 2">
          <a:extLst>
            <a:ext uri="{FF2B5EF4-FFF2-40B4-BE49-F238E27FC236}">
              <a16:creationId xmlns:a16="http://schemas.microsoft.com/office/drawing/2014/main" id="{00000000-0008-0000-3B00-000003000000}"/>
            </a:ext>
          </a:extLst>
        </xdr:cNvPr>
        <xdr:cNvSpPr>
          <a:spLocks noGrp="1"/>
        </xdr:cNvSpPr>
      </xdr:nvSpPr>
      <xdr:spPr>
        <a:xfrm>
          <a:off x="35858" y="7870114"/>
          <a:ext cx="13098780" cy="114300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0</xdr:col>
      <xdr:colOff>1048871</xdr:colOff>
      <xdr:row>17</xdr:row>
      <xdr:rowOff>179293</xdr:rowOff>
    </xdr:from>
    <xdr:to>
      <xdr:col>5</xdr:col>
      <xdr:colOff>430306</xdr:colOff>
      <xdr:row>25</xdr:row>
      <xdr:rowOff>111610</xdr:rowOff>
    </xdr:to>
    <xdr:sp macro="" textlink="">
      <xdr:nvSpPr>
        <xdr:cNvPr id="4" name="Rectangle 3">
          <a:extLst>
            <a:ext uri="{FF2B5EF4-FFF2-40B4-BE49-F238E27FC236}">
              <a16:creationId xmlns:a16="http://schemas.microsoft.com/office/drawing/2014/main" id="{00000000-0008-0000-3B00-000004000000}"/>
            </a:ext>
          </a:extLst>
        </xdr:cNvPr>
        <xdr:cNvSpPr>
          <a:spLocks noGrp="1"/>
        </xdr:cNvSpPr>
      </xdr:nvSpPr>
      <xdr:spPr>
        <a:xfrm>
          <a:off x="1048871" y="4743673"/>
          <a:ext cx="4281095" cy="1921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Plan A Green - Protected Hedge Bucket Money</a:t>
          </a:r>
          <a:endParaRPr/>
        </a:p>
        <a:p>
          <a:pPr algn="ctr">
            <a:buNone/>
          </a:pPr>
          <a:r>
            <a:rPr sz="1400" b="1">
              <a:solidFill>
                <a:schemeClr val="tx1"/>
              </a:solidFill>
            </a:rPr>
            <a:t>Principal and Income is Protected from Market Losses</a:t>
          </a:r>
          <a:endParaRPr/>
        </a:p>
        <a:p>
          <a:pPr algn="ctr">
            <a:buNone/>
          </a:pPr>
          <a:r>
            <a:rPr sz="1400" b="1">
              <a:solidFill>
                <a:schemeClr val="tx1"/>
              </a:solidFill>
            </a:rPr>
            <a:t>$200,000 repositioned from Mary's 401k </a:t>
          </a:r>
          <a:endParaRPr/>
        </a:p>
        <a:p>
          <a:pPr algn="ctr">
            <a:buNone/>
          </a:pPr>
          <a:r>
            <a:rPr sz="1400" b="1">
              <a:solidFill>
                <a:schemeClr val="tx1"/>
              </a:solidFill>
            </a:rPr>
            <a:t>$100,000 repositioned from Greg's 401k and $200,000 from underperforming assets</a:t>
          </a:r>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286310</xdr:rowOff>
    </xdr:from>
    <xdr:to>
      <xdr:col>8</xdr:col>
      <xdr:colOff>0</xdr:colOff>
      <xdr:row>42</xdr:row>
      <xdr:rowOff>125507</xdr:rowOff>
    </xdr:to>
    <xdr:graphicFrame macro="">
      <xdr:nvGraphicFramePr>
        <xdr:cNvPr id="2" name="Chart">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3C00-000003000000}"/>
            </a:ext>
          </a:extLst>
        </xdr:cNvPr>
        <xdr:cNvSpPr>
          <a:spLocks noGrp="1"/>
        </xdr:cNvSpPr>
      </xdr:nvSpPr>
      <xdr:spPr>
        <a:xfrm>
          <a:off x="80682" y="8816788"/>
          <a:ext cx="1309878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3</xdr:col>
      <xdr:colOff>179295</xdr:colOff>
      <xdr:row>19</xdr:row>
      <xdr:rowOff>197223</xdr:rowOff>
    </xdr:from>
    <xdr:to>
      <xdr:col>5</xdr:col>
      <xdr:colOff>322730</xdr:colOff>
      <xdr:row>21</xdr:row>
      <xdr:rowOff>170329</xdr:rowOff>
    </xdr:to>
    <xdr:sp macro="" textlink="">
      <xdr:nvSpPr>
        <xdr:cNvPr id="4" name="Rectangle 3">
          <a:extLst>
            <a:ext uri="{FF2B5EF4-FFF2-40B4-BE49-F238E27FC236}">
              <a16:creationId xmlns:a16="http://schemas.microsoft.com/office/drawing/2014/main" id="{00000000-0008-0000-3C00-000004000000}"/>
            </a:ext>
          </a:extLst>
        </xdr:cNvPr>
        <xdr:cNvSpPr>
          <a:spLocks noGrp="1"/>
        </xdr:cNvSpPr>
      </xdr:nvSpPr>
      <xdr:spPr>
        <a:xfrm>
          <a:off x="3829275" y="4761603"/>
          <a:ext cx="1393115" cy="498886"/>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chemeClr val="tx1"/>
              </a:solidFill>
            </a:rPr>
            <a:t>Green - Protected Safe Money</a:t>
          </a:r>
          <a:endParaRPr/>
        </a:p>
      </xdr:txBody>
    </xdr:sp>
    <xdr:clientData/>
  </xdr:twoCellAnchor>
  <xdr:twoCellAnchor editAs="oneCell">
    <xdr:from>
      <xdr:col>0</xdr:col>
      <xdr:colOff>188260</xdr:colOff>
      <xdr:row>9</xdr:row>
      <xdr:rowOff>17930</xdr:rowOff>
    </xdr:from>
    <xdr:to>
      <xdr:col>1</xdr:col>
      <xdr:colOff>690282</xdr:colOff>
      <xdr:row>11</xdr:row>
      <xdr:rowOff>143437</xdr:rowOff>
    </xdr:to>
    <xdr:sp macro="" textlink="">
      <xdr:nvSpPr>
        <xdr:cNvPr id="5" name="Rectangle 4">
          <a:extLst>
            <a:ext uri="{FF2B5EF4-FFF2-40B4-BE49-F238E27FC236}">
              <a16:creationId xmlns:a16="http://schemas.microsoft.com/office/drawing/2014/main" id="{00000000-0008-0000-3C00-000005000000}"/>
            </a:ext>
          </a:extLst>
        </xdr:cNvPr>
        <xdr:cNvSpPr>
          <a:spLocks noGrp="1"/>
        </xdr:cNvSpPr>
      </xdr:nvSpPr>
      <xdr:spPr>
        <a:xfrm>
          <a:off x="188260" y="2070848"/>
          <a:ext cx="1703293" cy="681318"/>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twoCellAnchor editAs="oneCell">
    <xdr:from>
      <xdr:col>1</xdr:col>
      <xdr:colOff>367553</xdr:colOff>
      <xdr:row>22</xdr:row>
      <xdr:rowOff>80682</xdr:rowOff>
    </xdr:from>
    <xdr:to>
      <xdr:col>5</xdr:col>
      <xdr:colOff>179294</xdr:colOff>
      <xdr:row>30</xdr:row>
      <xdr:rowOff>46170</xdr:rowOff>
    </xdr:to>
    <xdr:sp macro="" textlink="">
      <xdr:nvSpPr>
        <xdr:cNvPr id="6" name="Rectangle 5">
          <a:extLst>
            <a:ext uri="{FF2B5EF4-FFF2-40B4-BE49-F238E27FC236}">
              <a16:creationId xmlns:a16="http://schemas.microsoft.com/office/drawing/2014/main" id="{00000000-0008-0000-3C00-000006000000}"/>
            </a:ext>
          </a:extLst>
        </xdr:cNvPr>
        <xdr:cNvSpPr>
          <a:spLocks noGrp="1"/>
        </xdr:cNvSpPr>
      </xdr:nvSpPr>
      <xdr:spPr>
        <a:xfrm>
          <a:off x="1571513" y="5498502"/>
          <a:ext cx="3507441" cy="2038128"/>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Green - Protected Safe Hedge Bucket Money</a:t>
          </a:r>
          <a:endParaRPr/>
        </a:p>
        <a:p>
          <a:pPr algn="ctr">
            <a:buNone/>
          </a:pPr>
          <a:r>
            <a:rPr sz="1400" b="1">
              <a:solidFill>
                <a:schemeClr val="tx1"/>
              </a:solidFill>
            </a:rPr>
            <a:t>Principal and Income is Protected</a:t>
          </a:r>
          <a:endParaRPr/>
        </a:p>
        <a:p>
          <a:pPr algn="ctr">
            <a:buNone/>
          </a:pPr>
          <a:r>
            <a:rPr sz="1400" b="1">
              <a:solidFill>
                <a:schemeClr val="tx1"/>
              </a:solidFill>
            </a:rPr>
            <a:t>$225,000 repositioned from Debbie's 401k "In Service Distribution" add in 7% bonus ($15,750) and your new balance will be $240,750.00. Annuity pays $18,826.65</a:t>
          </a:r>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295275</xdr:rowOff>
    </xdr:from>
    <xdr:to>
      <xdr:col>7</xdr:col>
      <xdr:colOff>564777</xdr:colOff>
      <xdr:row>39</xdr:row>
      <xdr:rowOff>152400</xdr:rowOff>
    </xdr:to>
    <xdr:graphicFrame macro="">
      <xdr:nvGraphicFramePr>
        <xdr:cNvPr id="2" name="Chart">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116541</xdr:colOff>
      <xdr:row>36</xdr:row>
      <xdr:rowOff>138952</xdr:rowOff>
    </xdr:from>
    <xdr:to>
      <xdr:col>13</xdr:col>
      <xdr:colOff>179294</xdr:colOff>
      <xdr:row>43</xdr:row>
      <xdr:rowOff>152399</xdr:rowOff>
    </xdr:to>
    <xdr:sp macro="" textlink="">
      <xdr:nvSpPr>
        <xdr:cNvPr id="3" name="TextBox 2">
          <a:extLst>
            <a:ext uri="{FF2B5EF4-FFF2-40B4-BE49-F238E27FC236}">
              <a16:creationId xmlns:a16="http://schemas.microsoft.com/office/drawing/2014/main" id="{00000000-0008-0000-3E00-000003000000}"/>
            </a:ext>
          </a:extLst>
        </xdr:cNvPr>
        <xdr:cNvSpPr>
          <a:spLocks noGrp="1"/>
        </xdr:cNvSpPr>
      </xdr:nvSpPr>
      <xdr:spPr>
        <a:xfrm>
          <a:off x="116541" y="8696212"/>
          <a:ext cx="12826253" cy="120216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2</xdr:col>
      <xdr:colOff>1021975</xdr:colOff>
      <xdr:row>3</xdr:row>
      <xdr:rowOff>53788</xdr:rowOff>
    </xdr:from>
    <xdr:to>
      <xdr:col>6</xdr:col>
      <xdr:colOff>466163</xdr:colOff>
      <xdr:row>5</xdr:row>
      <xdr:rowOff>62753</xdr:rowOff>
    </xdr:to>
    <xdr:sp macro="" textlink="">
      <xdr:nvSpPr>
        <xdr:cNvPr id="4" name="Rectangle 3">
          <a:extLst>
            <a:ext uri="{FF2B5EF4-FFF2-40B4-BE49-F238E27FC236}">
              <a16:creationId xmlns:a16="http://schemas.microsoft.com/office/drawing/2014/main" id="{00000000-0008-0000-3E00-000004000000}"/>
            </a:ext>
          </a:extLst>
        </xdr:cNvPr>
        <xdr:cNvSpPr>
          <a:spLocks noGrp="1"/>
        </xdr:cNvSpPr>
      </xdr:nvSpPr>
      <xdr:spPr>
        <a:xfrm>
          <a:off x="3429895" y="907228"/>
          <a:ext cx="2560768" cy="443305"/>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Lifetime Income &amp; LTC Money</a:t>
          </a:r>
          <a:endParaRPr/>
        </a:p>
      </xdr:txBody>
    </xdr:sp>
    <xdr:clientData/>
  </xdr:twoCellAnchor>
  <xdr:twoCellAnchor editAs="oneCell">
    <xdr:from>
      <xdr:col>0</xdr:col>
      <xdr:colOff>762000</xdr:colOff>
      <xdr:row>3</xdr:row>
      <xdr:rowOff>44823</xdr:rowOff>
    </xdr:from>
    <xdr:to>
      <xdr:col>2</xdr:col>
      <xdr:colOff>941295</xdr:colOff>
      <xdr:row>5</xdr:row>
      <xdr:rowOff>44824</xdr:rowOff>
    </xdr:to>
    <xdr:sp macro="" textlink="">
      <xdr:nvSpPr>
        <xdr:cNvPr id="5" name="Rectangle 4">
          <a:extLst>
            <a:ext uri="{FF2B5EF4-FFF2-40B4-BE49-F238E27FC236}">
              <a16:creationId xmlns:a16="http://schemas.microsoft.com/office/drawing/2014/main" id="{00000000-0008-0000-3E00-000005000000}"/>
            </a:ext>
          </a:extLst>
        </xdr:cNvPr>
        <xdr:cNvSpPr>
          <a:spLocks noGrp="1"/>
        </xdr:cNvSpPr>
      </xdr:nvSpPr>
      <xdr:spPr>
        <a:xfrm>
          <a:off x="762000" y="898263"/>
          <a:ext cx="2587215" cy="43434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Yellow Cash - liquid money</a:t>
          </a:r>
          <a:endParaRPr/>
        </a:p>
      </xdr:txBody>
    </xdr:sp>
    <xdr:clientData/>
  </xdr:twoCellAnchor>
  <xdr:twoCellAnchor editAs="oneCell">
    <xdr:from>
      <xdr:col>1</xdr:col>
      <xdr:colOff>941294</xdr:colOff>
      <xdr:row>5</xdr:row>
      <xdr:rowOff>134472</xdr:rowOff>
    </xdr:from>
    <xdr:to>
      <xdr:col>4</xdr:col>
      <xdr:colOff>376518</xdr:colOff>
      <xdr:row>6</xdr:row>
      <xdr:rowOff>206189</xdr:rowOff>
    </xdr:to>
    <xdr:sp macro="" textlink="">
      <xdr:nvSpPr>
        <xdr:cNvPr id="6" name="Rectangle 5">
          <a:extLst>
            <a:ext uri="{FF2B5EF4-FFF2-40B4-BE49-F238E27FC236}">
              <a16:creationId xmlns:a16="http://schemas.microsoft.com/office/drawing/2014/main" id="{00000000-0008-0000-3E00-000006000000}"/>
            </a:ext>
          </a:extLst>
        </xdr:cNvPr>
        <xdr:cNvSpPr>
          <a:spLocks noGrp="1"/>
        </xdr:cNvSpPr>
      </xdr:nvSpPr>
      <xdr:spPr>
        <a:xfrm>
          <a:off x="2145254" y="1422252"/>
          <a:ext cx="2506084" cy="452717"/>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3F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7620</xdr:rowOff>
    </xdr:to>
    <xdr:pic>
      <xdr:nvPicPr>
        <xdr:cNvPr id="3" name="/xl/media/image1.jpg">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oneCellAnchor>
    <xdr:from>
      <xdr:col>0</xdr:col>
      <xdr:colOff>0</xdr:colOff>
      <xdr:row>34</xdr:row>
      <xdr:rowOff>106680</xdr:rowOff>
    </xdr:from>
    <xdr:ext cx="12527280" cy="418225"/>
    <xdr:sp macro="" textlink="">
      <xdr:nvSpPr>
        <xdr:cNvPr id="2" name="TextBox 1">
          <a:extLst>
            <a:ext uri="{FF2B5EF4-FFF2-40B4-BE49-F238E27FC236}">
              <a16:creationId xmlns:a16="http://schemas.microsoft.com/office/drawing/2014/main" id="{00000000-0008-0000-4000-000002000000}"/>
            </a:ext>
          </a:extLst>
        </xdr:cNvPr>
        <xdr:cNvSpPr>
          <a:spLocks noGrp="1"/>
        </xdr:cNvSpPr>
      </xdr:nvSpPr>
      <xdr:spPr>
        <a:xfrm>
          <a:off x="0" y="7749540"/>
          <a:ext cx="12527280" cy="418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900">
              <a:solidFill>
                <a:sysClr val="windowText" lastClr="000000"/>
              </a:solidFill>
            </a:rPr>
            <a:t>© Copyright 2019 America United Wealth Planning, all rights reserved</a:t>
          </a:r>
          <a:endParaRPr/>
        </a:p>
        <a:p>
          <a:pPr algn="ctr">
            <a:buNone/>
          </a:pPr>
          <a:r>
            <a:rPr sz="900">
              <a:solidFill>
                <a:sysClr val="windowText" lastClr="000000"/>
              </a:solidFill>
            </a:rPr>
            <a:t>This illustration offers no guarantees. It is based on information provided by Client used to estimate future income for analysis purposes only and is not guaranteed</a:t>
          </a:r>
          <a:r>
            <a:rPr sz="900">
              <a:solidFill>
                <a:schemeClr val="bg1"/>
              </a:solidFill>
            </a:rPr>
            <a:t>.</a:t>
          </a:r>
          <a:endParaRPr/>
        </a:p>
        <a:p>
          <a:endParaRPr/>
        </a:p>
      </xdr:txBody>
    </xdr:sp>
    <xdr:clientData/>
  </xdr:oneCellAnchor>
  <xdr:oneCellAnchor>
    <xdr:from>
      <xdr:col>0</xdr:col>
      <xdr:colOff>22860</xdr:colOff>
      <xdr:row>32</xdr:row>
      <xdr:rowOff>0</xdr:rowOff>
    </xdr:from>
    <xdr:ext cx="3528060" cy="718530"/>
    <xdr:sp macro="" textlink="">
      <xdr:nvSpPr>
        <xdr:cNvPr id="3" name="TextBox 3">
          <a:extLst>
            <a:ext uri="{FF2B5EF4-FFF2-40B4-BE49-F238E27FC236}">
              <a16:creationId xmlns:a16="http://schemas.microsoft.com/office/drawing/2014/main" id="{00000000-0008-0000-4000-000003000000}"/>
            </a:ext>
          </a:extLst>
        </xdr:cNvPr>
        <xdr:cNvSpPr>
          <a:spLocks noGrp="1"/>
        </xdr:cNvSpPr>
      </xdr:nvSpPr>
      <xdr:spPr>
        <a:xfrm>
          <a:off x="22860" y="7193280"/>
          <a:ext cx="3528060" cy="718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spAutoFit/>
        </a:bodyPr>
        <a:lstStyle/>
        <a:p>
          <a:pPr algn="ctr">
            <a:buNone/>
          </a:pPr>
          <a:r>
            <a:rPr sz="1400" b="1">
              <a:solidFill>
                <a:sysClr val="windowText" lastClr="000000"/>
              </a:solidFill>
            </a:rPr>
            <a:t>John T. Davis - john@AmericaPlanning.com</a:t>
          </a:r>
          <a:endParaRPr/>
        </a:p>
        <a:p>
          <a:pPr algn="ctr">
            <a:buNone/>
          </a:pPr>
          <a:r>
            <a:rPr sz="1400" b="1">
              <a:solidFill>
                <a:sysClr val="windowText" lastClr="000000"/>
              </a:solidFill>
            </a:rPr>
            <a:t>(847) 592-5405</a:t>
          </a:r>
          <a:endParaRPr/>
        </a:p>
        <a:p>
          <a:pPr algn="ctr">
            <a:buNone/>
          </a:pPr>
          <a:r>
            <a:rPr sz="1200" b="1">
              <a:solidFill>
                <a:sysClr val="windowText" lastClr="000000"/>
              </a:solidFill>
            </a:rPr>
            <a:t>www.AmericaUnitedWealthPlanning.com</a:t>
          </a:r>
          <a:endParaRPr/>
        </a:p>
      </xdr:txBody>
    </xdr:sp>
    <xdr:clientData/>
  </xdr:oneCellAnchor>
  <xdr:oneCellAnchor>
    <xdr:from>
      <xdr:col>5</xdr:col>
      <xdr:colOff>22860</xdr:colOff>
      <xdr:row>10</xdr:row>
      <xdr:rowOff>7621</xdr:rowOff>
    </xdr:from>
    <xdr:ext cx="1973580" cy="617220"/>
    <xdr:sp macro="" textlink="">
      <xdr:nvSpPr>
        <xdr:cNvPr id="4" name="TextBox 4">
          <a:extLst>
            <a:ext uri="{FF2B5EF4-FFF2-40B4-BE49-F238E27FC236}">
              <a16:creationId xmlns:a16="http://schemas.microsoft.com/office/drawing/2014/main" id="{00000000-0008-0000-4000-000004000000}"/>
            </a:ext>
          </a:extLst>
        </xdr:cNvPr>
        <xdr:cNvSpPr>
          <a:spLocks noGrp="1"/>
        </xdr:cNvSpPr>
      </xdr:nvSpPr>
      <xdr:spPr>
        <a:xfrm>
          <a:off x="4282440" y="2567941"/>
          <a:ext cx="1973580" cy="61722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900" b="1">
              <a:solidFill>
                <a:schemeClr val="tx1"/>
              </a:solidFill>
            </a:rPr>
            <a:t>Note: The lower Soc Sec Amt is taken</a:t>
          </a:r>
          <a:endParaRPr/>
        </a:p>
        <a:p>
          <a:pPr algn="ctr">
            <a:buNone/>
          </a:pPr>
          <a:r>
            <a:rPr sz="900" b="1">
              <a:solidFill>
                <a:schemeClr val="tx1"/>
              </a:solidFill>
            </a:rPr>
            <a:t>away upon the death of a Spouse.</a:t>
          </a:r>
          <a:endParaRPr/>
        </a:p>
        <a:p>
          <a:pPr algn="ctr">
            <a:buNone/>
          </a:pPr>
          <a:r>
            <a:rPr sz="900" b="1">
              <a:solidFill>
                <a:schemeClr val="tx1"/>
              </a:solidFill>
            </a:rPr>
            <a:t>Only the Higher Amount Survives.</a:t>
          </a:r>
          <a:endParaRPr/>
        </a:p>
      </xdr:txBody>
    </xdr:sp>
    <xdr:clientData/>
  </xdr:oneCellAnchor>
  <xdr:twoCellAnchor editAs="oneCell">
    <xdr:from>
      <xdr:col>0</xdr:col>
      <xdr:colOff>83820</xdr:colOff>
      <xdr:row>29</xdr:row>
      <xdr:rowOff>22860</xdr:rowOff>
    </xdr:from>
    <xdr:to>
      <xdr:col>3</xdr:col>
      <xdr:colOff>651510</xdr:colOff>
      <xdr:row>32</xdr:row>
      <xdr:rowOff>76200</xdr:rowOff>
    </xdr:to>
    <xdr:pic>
      <xdr:nvPicPr>
        <xdr:cNvPr id="5" name="/xl/media/image1.jpg">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1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30480</xdr:rowOff>
    </xdr:to>
    <xdr:pic>
      <xdr:nvPicPr>
        <xdr:cNvPr id="3" name="/xl/media/image1.jpg">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933450</xdr:colOff>
      <xdr:row>1</xdr:row>
      <xdr:rowOff>6350</xdr:rowOff>
    </xdr:from>
    <xdr:to>
      <xdr:col>9</xdr:col>
      <xdr:colOff>1346200</xdr:colOff>
      <xdr:row>3</xdr:row>
      <xdr:rowOff>120650</xdr:rowOff>
    </xdr:to>
    <xdr:pic>
      <xdr:nvPicPr>
        <xdr:cNvPr id="2" name="/xl/media/image3.jpe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2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30480</xdr:rowOff>
    </xdr:to>
    <xdr:pic>
      <xdr:nvPicPr>
        <xdr:cNvPr id="3" name="/xl/media/image1.jpg">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xdr:row>
      <xdr:rowOff>295275</xdr:rowOff>
    </xdr:from>
    <xdr:to>
      <xdr:col>7</xdr:col>
      <xdr:colOff>564777</xdr:colOff>
      <xdr:row>39</xdr:row>
      <xdr:rowOff>152400</xdr:rowOff>
    </xdr:to>
    <xdr:graphicFrame macro="">
      <xdr:nvGraphicFramePr>
        <xdr:cNvPr id="2" name="Chart">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116541</xdr:colOff>
      <xdr:row>36</xdr:row>
      <xdr:rowOff>138952</xdr:rowOff>
    </xdr:from>
    <xdr:to>
      <xdr:col>13</xdr:col>
      <xdr:colOff>179294</xdr:colOff>
      <xdr:row>43</xdr:row>
      <xdr:rowOff>152399</xdr:rowOff>
    </xdr:to>
    <xdr:sp macro="" textlink="">
      <xdr:nvSpPr>
        <xdr:cNvPr id="3" name="TextBox 2">
          <a:extLst>
            <a:ext uri="{FF2B5EF4-FFF2-40B4-BE49-F238E27FC236}">
              <a16:creationId xmlns:a16="http://schemas.microsoft.com/office/drawing/2014/main" id="{00000000-0008-0000-4300-000003000000}"/>
            </a:ext>
          </a:extLst>
        </xdr:cNvPr>
        <xdr:cNvSpPr>
          <a:spLocks noGrp="1"/>
        </xdr:cNvSpPr>
      </xdr:nvSpPr>
      <xdr:spPr>
        <a:xfrm>
          <a:off x="116541" y="8754034"/>
          <a:ext cx="12837459" cy="1214718"/>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2</xdr:col>
      <xdr:colOff>1021975</xdr:colOff>
      <xdr:row>3</xdr:row>
      <xdr:rowOff>53788</xdr:rowOff>
    </xdr:from>
    <xdr:to>
      <xdr:col>6</xdr:col>
      <xdr:colOff>466163</xdr:colOff>
      <xdr:row>5</xdr:row>
      <xdr:rowOff>62753</xdr:rowOff>
    </xdr:to>
    <xdr:sp macro="" textlink="">
      <xdr:nvSpPr>
        <xdr:cNvPr id="4" name="Rectangle 4">
          <a:extLst>
            <a:ext uri="{FF2B5EF4-FFF2-40B4-BE49-F238E27FC236}">
              <a16:creationId xmlns:a16="http://schemas.microsoft.com/office/drawing/2014/main" id="{00000000-0008-0000-4300-000004000000}"/>
            </a:ext>
          </a:extLst>
        </xdr:cNvPr>
        <xdr:cNvSpPr>
          <a:spLocks noGrp="1"/>
        </xdr:cNvSpPr>
      </xdr:nvSpPr>
      <xdr:spPr>
        <a:xfrm>
          <a:off x="3424516" y="914400"/>
          <a:ext cx="2572871" cy="448235"/>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Lifetime Income &amp; LTC Money</a:t>
          </a:r>
          <a:endParaRPr/>
        </a:p>
      </xdr:txBody>
    </xdr:sp>
    <xdr:clientData/>
  </xdr:twoCellAnchor>
  <xdr:twoCellAnchor editAs="oneCell">
    <xdr:from>
      <xdr:col>0</xdr:col>
      <xdr:colOff>762000</xdr:colOff>
      <xdr:row>3</xdr:row>
      <xdr:rowOff>44823</xdr:rowOff>
    </xdr:from>
    <xdr:to>
      <xdr:col>2</xdr:col>
      <xdr:colOff>941295</xdr:colOff>
      <xdr:row>5</xdr:row>
      <xdr:rowOff>44824</xdr:rowOff>
    </xdr:to>
    <xdr:sp macro="" textlink="">
      <xdr:nvSpPr>
        <xdr:cNvPr id="5" name="Rectangle 5">
          <a:extLst>
            <a:ext uri="{FF2B5EF4-FFF2-40B4-BE49-F238E27FC236}">
              <a16:creationId xmlns:a16="http://schemas.microsoft.com/office/drawing/2014/main" id="{00000000-0008-0000-4300-000005000000}"/>
            </a:ext>
          </a:extLst>
        </xdr:cNvPr>
        <xdr:cNvSpPr>
          <a:spLocks noGrp="1"/>
        </xdr:cNvSpPr>
      </xdr:nvSpPr>
      <xdr:spPr>
        <a:xfrm>
          <a:off x="762000" y="905435"/>
          <a:ext cx="2581836" cy="43927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Yellow Cash - liquid money</a:t>
          </a:r>
          <a:endParaRPr/>
        </a:p>
      </xdr:txBody>
    </xdr:sp>
    <xdr:clientData/>
  </xdr:twoCellAnchor>
  <xdr:twoCellAnchor editAs="oneCell">
    <xdr:from>
      <xdr:col>1</xdr:col>
      <xdr:colOff>941294</xdr:colOff>
      <xdr:row>5</xdr:row>
      <xdr:rowOff>134472</xdr:rowOff>
    </xdr:from>
    <xdr:to>
      <xdr:col>4</xdr:col>
      <xdr:colOff>376518</xdr:colOff>
      <xdr:row>6</xdr:row>
      <xdr:rowOff>206189</xdr:rowOff>
    </xdr:to>
    <xdr:sp macro="" textlink="">
      <xdr:nvSpPr>
        <xdr:cNvPr id="6" name="Rectangle 6">
          <a:extLst>
            <a:ext uri="{FF2B5EF4-FFF2-40B4-BE49-F238E27FC236}">
              <a16:creationId xmlns:a16="http://schemas.microsoft.com/office/drawing/2014/main" id="{00000000-0008-0000-4300-000006000000}"/>
            </a:ext>
          </a:extLst>
        </xdr:cNvPr>
        <xdr:cNvSpPr>
          <a:spLocks noGrp="1"/>
        </xdr:cNvSpPr>
      </xdr:nvSpPr>
      <xdr:spPr>
        <a:xfrm>
          <a:off x="2142565" y="1434354"/>
          <a:ext cx="2510118" cy="4572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4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1.jpg">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5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1.jpg">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6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3</xdr:col>
      <xdr:colOff>944880</xdr:colOff>
      <xdr:row>4</xdr:row>
      <xdr:rowOff>15240</xdr:rowOff>
    </xdr:to>
    <xdr:pic>
      <xdr:nvPicPr>
        <xdr:cNvPr id="3" name="/xl/media/image1.jpg">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7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1.jpg">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8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1.jpg">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9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3</xdr:col>
      <xdr:colOff>944880</xdr:colOff>
      <xdr:row>4</xdr:row>
      <xdr:rowOff>15240</xdr:rowOff>
    </xdr:to>
    <xdr:pic>
      <xdr:nvPicPr>
        <xdr:cNvPr id="3" name="/xl/media/image1.jpg">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295275</xdr:rowOff>
    </xdr:from>
    <xdr:to>
      <xdr:col>8</xdr:col>
      <xdr:colOff>0</xdr:colOff>
      <xdr:row>42</xdr:row>
      <xdr:rowOff>134472</xdr:rowOff>
    </xdr:to>
    <xdr:graphicFrame macro="">
      <xdr:nvGraphicFramePr>
        <xdr:cNvPr id="2" name="Chart">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4A00-000003000000}"/>
            </a:ext>
          </a:extLst>
        </xdr:cNvPr>
        <xdr:cNvSpPr>
          <a:spLocks noGrp="1"/>
        </xdr:cNvSpPr>
      </xdr:nvSpPr>
      <xdr:spPr>
        <a:xfrm>
          <a:off x="80682" y="8275768"/>
          <a:ext cx="1227582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7</xdr:col>
      <xdr:colOff>17929</xdr:colOff>
      <xdr:row>20</xdr:row>
      <xdr:rowOff>8964</xdr:rowOff>
    </xdr:from>
    <xdr:to>
      <xdr:col>9</xdr:col>
      <xdr:colOff>233081</xdr:colOff>
      <xdr:row>21</xdr:row>
      <xdr:rowOff>1</xdr:rowOff>
    </xdr:to>
    <xdr:sp macro="" textlink="">
      <xdr:nvSpPr>
        <xdr:cNvPr id="4" name="Arrow: Left 3">
          <a:extLst>
            <a:ext uri="{FF2B5EF4-FFF2-40B4-BE49-F238E27FC236}">
              <a16:creationId xmlns:a16="http://schemas.microsoft.com/office/drawing/2014/main" id="{00000000-0008-0000-4A00-000004000000}"/>
            </a:ext>
          </a:extLst>
        </xdr:cNvPr>
        <xdr:cNvSpPr>
          <a:spLocks noGrp="1"/>
        </xdr:cNvSpPr>
      </xdr:nvSpPr>
      <xdr:spPr>
        <a:xfrm>
          <a:off x="6167269" y="4740984"/>
          <a:ext cx="1464832" cy="250117"/>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2</xdr:col>
      <xdr:colOff>1084730</xdr:colOff>
      <xdr:row>3</xdr:row>
      <xdr:rowOff>80682</xdr:rowOff>
    </xdr:from>
    <xdr:to>
      <xdr:col>6</xdr:col>
      <xdr:colOff>528918</xdr:colOff>
      <xdr:row>5</xdr:row>
      <xdr:rowOff>98612</xdr:rowOff>
    </xdr:to>
    <xdr:sp macro="" textlink="">
      <xdr:nvSpPr>
        <xdr:cNvPr id="5" name="Rectangle 4">
          <a:extLst>
            <a:ext uri="{FF2B5EF4-FFF2-40B4-BE49-F238E27FC236}">
              <a16:creationId xmlns:a16="http://schemas.microsoft.com/office/drawing/2014/main" id="{00000000-0008-0000-4A00-000005000000}"/>
            </a:ext>
          </a:extLst>
        </xdr:cNvPr>
        <xdr:cNvSpPr>
          <a:spLocks noGrp="1"/>
        </xdr:cNvSpPr>
      </xdr:nvSpPr>
      <xdr:spPr>
        <a:xfrm>
          <a:off x="3492650" y="934122"/>
          <a:ext cx="2560768" cy="421790"/>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Protected Safe Money</a:t>
          </a:r>
          <a:endParaRPr/>
        </a:p>
      </xdr:txBody>
    </xdr:sp>
    <xdr:clientData/>
  </xdr:twoCellAnchor>
  <xdr:twoCellAnchor editAs="oneCell">
    <xdr:from>
      <xdr:col>1</xdr:col>
      <xdr:colOff>833717</xdr:colOff>
      <xdr:row>6</xdr:row>
      <xdr:rowOff>80682</xdr:rowOff>
    </xdr:from>
    <xdr:to>
      <xdr:col>4</xdr:col>
      <xdr:colOff>268941</xdr:colOff>
      <xdr:row>7</xdr:row>
      <xdr:rowOff>242047</xdr:rowOff>
    </xdr:to>
    <xdr:sp macro="" textlink="">
      <xdr:nvSpPr>
        <xdr:cNvPr id="6" name="Rectangle 5">
          <a:extLst>
            <a:ext uri="{FF2B5EF4-FFF2-40B4-BE49-F238E27FC236}">
              <a16:creationId xmlns:a16="http://schemas.microsoft.com/office/drawing/2014/main" id="{00000000-0008-0000-4A00-000006000000}"/>
            </a:ext>
          </a:extLst>
        </xdr:cNvPr>
        <xdr:cNvSpPr>
          <a:spLocks noGrp="1"/>
        </xdr:cNvSpPr>
      </xdr:nvSpPr>
      <xdr:spPr>
        <a:xfrm>
          <a:off x="2037677" y="1505622"/>
          <a:ext cx="2506084" cy="45854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295274</xdr:rowOff>
    </xdr:from>
    <xdr:to>
      <xdr:col>7</xdr:col>
      <xdr:colOff>564777</xdr:colOff>
      <xdr:row>46</xdr:row>
      <xdr:rowOff>8964</xdr:rowOff>
    </xdr:to>
    <xdr:graphicFrame macro="">
      <xdr:nvGraphicFramePr>
        <xdr:cNvPr id="2" name="Chart">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143438</xdr:rowOff>
    </xdr:from>
    <xdr:to>
      <xdr:col>13</xdr:col>
      <xdr:colOff>80682</xdr:colOff>
      <xdr:row>47</xdr:row>
      <xdr:rowOff>125506</xdr:rowOff>
    </xdr:to>
    <xdr:sp macro="" textlink="">
      <xdr:nvSpPr>
        <xdr:cNvPr id="3" name="TextBox 2">
          <a:extLst>
            <a:ext uri="{FF2B5EF4-FFF2-40B4-BE49-F238E27FC236}">
              <a16:creationId xmlns:a16="http://schemas.microsoft.com/office/drawing/2014/main" id="{00000000-0008-0000-4B00-000003000000}"/>
            </a:ext>
          </a:extLst>
        </xdr:cNvPr>
        <xdr:cNvSpPr>
          <a:spLocks noGrp="1"/>
        </xdr:cNvSpPr>
      </xdr:nvSpPr>
      <xdr:spPr>
        <a:xfrm>
          <a:off x="0" y="8677838"/>
          <a:ext cx="12855388" cy="168536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56</xdr:row>
      <xdr:rowOff>43962</xdr:rowOff>
    </xdr:from>
    <xdr:to>
      <xdr:col>14</xdr:col>
      <xdr:colOff>1949694</xdr:colOff>
      <xdr:row>64</xdr:row>
      <xdr:rowOff>130554</xdr:rowOff>
    </xdr:to>
    <xdr:sp macro="" textlink="">
      <xdr:nvSpPr>
        <xdr:cNvPr id="2" name="Text Box 5">
          <a:extLst>
            <a:ext uri="{FF2B5EF4-FFF2-40B4-BE49-F238E27FC236}">
              <a16:creationId xmlns:a16="http://schemas.microsoft.com/office/drawing/2014/main" id="{00000000-0008-0000-0600-000002000000}"/>
            </a:ext>
          </a:extLst>
        </xdr:cNvPr>
        <xdr:cNvSpPr>
          <a:spLocks noGrp="1"/>
        </xdr:cNvSpPr>
      </xdr:nvSpPr>
      <xdr:spPr>
        <a:xfrm>
          <a:off x="0" y="11085342"/>
          <a:ext cx="17250654" cy="136675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2</xdr:col>
      <xdr:colOff>93784</xdr:colOff>
      <xdr:row>0</xdr:row>
      <xdr:rowOff>0</xdr:rowOff>
    </xdr:from>
    <xdr:to>
      <xdr:col>2</xdr:col>
      <xdr:colOff>1729739</xdr:colOff>
      <xdr:row>4</xdr:row>
      <xdr:rowOff>117232</xdr:rowOff>
    </xdr:to>
    <xdr:pic>
      <xdr:nvPicPr>
        <xdr:cNvPr id="3" name="/xl/media/image4.jpe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295274</xdr:rowOff>
    </xdr:from>
    <xdr:to>
      <xdr:col>7</xdr:col>
      <xdr:colOff>564777</xdr:colOff>
      <xdr:row>46</xdr:row>
      <xdr:rowOff>8964</xdr:rowOff>
    </xdr:to>
    <xdr:graphicFrame macro="">
      <xdr:nvGraphicFramePr>
        <xdr:cNvPr id="2" name="Chart">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143438</xdr:rowOff>
    </xdr:from>
    <xdr:to>
      <xdr:col>13</xdr:col>
      <xdr:colOff>80682</xdr:colOff>
      <xdr:row>47</xdr:row>
      <xdr:rowOff>125506</xdr:rowOff>
    </xdr:to>
    <xdr:sp macro="" textlink="">
      <xdr:nvSpPr>
        <xdr:cNvPr id="3" name="TextBox 2">
          <a:extLst>
            <a:ext uri="{FF2B5EF4-FFF2-40B4-BE49-F238E27FC236}">
              <a16:creationId xmlns:a16="http://schemas.microsoft.com/office/drawing/2014/main" id="{00000000-0008-0000-4C00-000003000000}"/>
            </a:ext>
          </a:extLst>
        </xdr:cNvPr>
        <xdr:cNvSpPr>
          <a:spLocks noGrp="1"/>
        </xdr:cNvSpPr>
      </xdr:nvSpPr>
      <xdr:spPr>
        <a:xfrm>
          <a:off x="0" y="8624498"/>
          <a:ext cx="12844182" cy="1658468"/>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71.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4D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2479654" cy="19210020"/>
    <xdr:sp macro="" textlink="">
      <xdr:nvSpPr>
        <xdr:cNvPr id="3" name="TextBox 2">
          <a:extLst>
            <a:ext uri="{FF2B5EF4-FFF2-40B4-BE49-F238E27FC236}">
              <a16:creationId xmlns:a16="http://schemas.microsoft.com/office/drawing/2014/main" id="{00000000-0008-0000-4D00-000003000000}"/>
            </a:ext>
          </a:extLst>
        </xdr:cNvPr>
        <xdr:cNvSpPr>
          <a:spLocks noGrp="1"/>
        </xdr:cNvSpPr>
      </xdr:nvSpPr>
      <xdr:spPr>
        <a:xfrm>
          <a:off x="238126" y="0"/>
          <a:ext cx="12479654" cy="1921002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Platinum Hybrid Income Plan with Protected Asset Strategy</a:t>
          </a:r>
          <a:endParaRPr/>
        </a:p>
        <a:p>
          <a:r>
            <a:rPr sz="2400" b="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The Hybrid solves the Investment Weighting and Risk Problem: </a:t>
          </a:r>
          <a:r>
            <a:rPr sz="2400" b="0">
              <a:solidFill>
                <a:schemeClr val="tx1"/>
              </a:solidFill>
              <a:latin typeface="+mn-lt"/>
              <a:ea typeface="+mn-lt"/>
              <a:cs typeface="+mn-lt"/>
            </a:rPr>
            <a:t>Based on third party MorningStar research models, the suggested amount of market sensitive investments for an aggressive couple of your average age is 52%; however currently you have </a:t>
          </a:r>
          <a:r>
            <a:rPr sz="2400">
              <a:solidFill>
                <a:schemeClr val="tx1"/>
              </a:solidFill>
              <a:latin typeface="+mn-lt"/>
              <a:ea typeface="+mn-lt"/>
              <a:cs typeface="+mn-lt"/>
            </a:rPr>
            <a:t>91% of your wealth at risk in the market place. The money is invested in a combination of mutual funds, and Variable Annuities that are subject to market risk and bonds that are subject to interest rate risk.</a:t>
          </a:r>
          <a:endParaRPr/>
        </a:p>
        <a:p>
          <a:endParaRPr/>
        </a:p>
        <a:p>
          <a:pPr algn="ctr">
            <a:buNone/>
          </a:pPr>
          <a:r>
            <a:rPr sz="2400" b="1" i="1" u="sng">
              <a:solidFill>
                <a:schemeClr val="accent1">
                  <a:lumMod val="50000"/>
                </a:schemeClr>
              </a:solidFill>
              <a:latin typeface="+mn-lt"/>
              <a:ea typeface="+mn-lt"/>
              <a:cs typeface="+mn-lt"/>
            </a:rPr>
            <a:t>The Platinum Hybrid Plan brings your risk exposure down from 91% to 74%  </a:t>
          </a:r>
          <a:endParaRPr/>
        </a:p>
        <a:p>
          <a:endParaRPr/>
        </a:p>
        <a:p>
          <a:r>
            <a:rPr sz="2400" b="1" i="1">
              <a:solidFill>
                <a:schemeClr val="accent1">
                  <a:lumMod val="50000"/>
                </a:schemeClr>
              </a:solidFill>
              <a:latin typeface="+mn-lt"/>
              <a:ea typeface="+mn-lt"/>
              <a:cs typeface="+mn-lt"/>
            </a:rPr>
            <a:t>The Hybrid solves the Income Shortfall Problem: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i="0">
              <a:solidFill>
                <a:schemeClr val="tx1"/>
              </a:solidFill>
              <a:latin typeface="+mn-lt"/>
              <a:ea typeface="+mn-lt"/>
              <a:cs typeface="+mn-lt"/>
            </a:rPr>
            <a:t>p</a:t>
          </a:r>
          <a:r>
            <a:rPr sz="2400" b="0">
              <a:solidFill>
                <a:schemeClr val="tx1"/>
              </a:solidFill>
              <a:latin typeface="+mn-lt"/>
              <a:ea typeface="+mn-lt"/>
              <a:cs typeface="+mn-lt"/>
            </a:rPr>
            <a:t>lan is to withdraw 4% off of assets to support yourself and cover lifestyle costs. When the stock market drops down in value, it will cause you to deplete assets if you sell market investments at a loss in those down years.</a:t>
          </a:r>
          <a:endParaRPr/>
        </a:p>
        <a:p>
          <a:pPr>
            <a:buNone/>
          </a:pPr>
          <a:endParaRPr/>
        </a:p>
        <a:p>
          <a:pPr>
            <a:buNone/>
          </a:pPr>
          <a:r>
            <a:rPr sz="2400" b="0" i="0">
              <a:solidFill>
                <a:schemeClr val="tx1"/>
              </a:solidFill>
              <a:latin typeface="+mn-lt"/>
              <a:ea typeface="+mn-lt"/>
              <a:cs typeface="+mn-lt"/>
            </a:rPr>
            <a:t>Your retirement income goal is to have $110,000 per year to live on. When we total up your Social Security, Pension and Variable Annuity Income sources, the total comes to $88,384 per year. This places you short of your $110,000 income goal by $21,612.50 per year.  This difference will have to be made up by drawing off of future investments. </a:t>
          </a:r>
          <a:r>
            <a:rPr sz="2400" b="0">
              <a:solidFill>
                <a:schemeClr val="tx1"/>
              </a:solidFill>
              <a:latin typeface="+mn-lt"/>
              <a:ea typeface="+mn-lt"/>
              <a:cs typeface="+mn-lt"/>
            </a:rPr>
            <a:t>And again, if the market happens to be up and covers the 4% withdraw amount you'll be just fine. However, if the market happens to be down, you'll </a:t>
          </a:r>
          <a:r>
            <a:rPr sz="2400" b="0" u="sng">
              <a:solidFill>
                <a:schemeClr val="tx1"/>
              </a:solidFill>
              <a:latin typeface="+mn-lt"/>
              <a:ea typeface="+mn-lt"/>
              <a:cs typeface="+mn-lt"/>
            </a:rPr>
            <a:t>run the risk of depleting assets and outliving your savings.</a:t>
          </a:r>
          <a:r>
            <a:rPr sz="2400" b="0" u="none">
              <a:solidFill>
                <a:schemeClr val="tx1"/>
              </a:solidFill>
              <a:latin typeface="+mn-lt"/>
              <a:ea typeface="+mn-lt"/>
              <a:cs typeface="+mn-lt"/>
            </a:rPr>
            <a:t> We can't predict the future.</a:t>
          </a:r>
          <a:endParaRPr/>
        </a:p>
        <a:p>
          <a:endParaRPr/>
        </a:p>
        <a:p>
          <a:r>
            <a:rPr sz="2400" b="1" i="1">
              <a:solidFill>
                <a:schemeClr val="accent1">
                  <a:lumMod val="50000"/>
                </a:schemeClr>
              </a:solidFill>
              <a:latin typeface="+mn-lt"/>
              <a:ea typeface="+mn-lt"/>
              <a:cs typeface="+mn-lt"/>
            </a:rPr>
            <a:t>Our recommendation: </a:t>
          </a:r>
          <a:r>
            <a:rPr sz="2400" b="1">
              <a:solidFill>
                <a:schemeClr val="accent1">
                  <a:lumMod val="50000"/>
                </a:schemeClr>
              </a:solidFill>
              <a:latin typeface="+mn-lt"/>
              <a:ea typeface="+mn-lt"/>
              <a:cs typeface="+mn-lt"/>
            </a:rPr>
            <a:t>do not sell off market investments in down market years at a loss</a:t>
          </a:r>
          <a:r>
            <a:rPr sz="2400" b="0">
              <a:solidFill>
                <a:schemeClr val="accent1">
                  <a:lumMod val="50000"/>
                </a:schemeClr>
              </a:solidFill>
              <a:latin typeface="+mn-lt"/>
              <a:ea typeface="+mn-lt"/>
              <a:cs typeface="+mn-lt"/>
            </a:rPr>
            <a:t>. </a:t>
          </a:r>
          <a:r>
            <a:rPr sz="2400" b="0">
              <a:solidFill>
                <a:schemeClr val="tx1"/>
              </a:solidFill>
              <a:latin typeface="+mn-lt"/>
              <a:ea typeface="+mn-lt"/>
              <a:cs typeface="+mn-lt"/>
            </a:rPr>
            <a:t>Instead replace your income by using non-market assets that generate income. By using these income sources instead of market driven investments, you'll be able to wait for stock values to come back and resume selling at a break even or even a gain rather than a loss.</a:t>
          </a:r>
          <a:endParaRPr/>
        </a:p>
        <a:p>
          <a:pPr>
            <a:buNone/>
          </a:pPr>
          <a:endParaRPr/>
        </a:p>
        <a:p>
          <a:pPr algn="ctr">
            <a:buNone/>
          </a:pPr>
          <a:r>
            <a:rPr sz="2400" b="1" i="1" u="sng">
              <a:solidFill>
                <a:schemeClr val="accent1">
                  <a:lumMod val="50000"/>
                </a:schemeClr>
              </a:solidFill>
              <a:latin typeface="+mn-lt"/>
              <a:ea typeface="+mn-lt"/>
              <a:cs typeface="+mn-lt"/>
            </a:rPr>
            <a:t>The Platinum Hybrid Plan calls for you to move $411,500 into more efficient Hyrbid Investments to create the additional income needed to cover your $21,612.50 income shortfall </a:t>
          </a:r>
          <a:endParaRPr/>
        </a:p>
        <a:p>
          <a:endParaRPr/>
        </a:p>
        <a:p>
          <a:pPr algn="ctr">
            <a:buNone/>
          </a:pPr>
          <a:r>
            <a:rPr sz="2400" b="1" i="0">
              <a:solidFill>
                <a:schemeClr val="accent1">
                  <a:lumMod val="50000"/>
                </a:schemeClr>
              </a:solidFill>
              <a:latin typeface="+mn-lt"/>
              <a:ea typeface="+mn-lt"/>
              <a:cs typeface="+mn-lt"/>
            </a:rPr>
            <a:t>Here is a before and after Hybrid Income plan snapshot of your retirement finances: </a:t>
          </a:r>
          <a:r>
            <a:rPr sz="2400" b="0">
              <a:solidFill>
                <a:schemeClr val="accent1">
                  <a:lumMod val="50000"/>
                </a:schemeClr>
              </a:solidFill>
              <a:latin typeface="+mn-lt"/>
              <a:ea typeface="+mn-lt"/>
              <a:cs typeface="+mn-lt"/>
            </a:rPr>
            <a:t> </a:t>
          </a:r>
          <a:endParaRPr/>
        </a:p>
        <a:p>
          <a:endParaRPr/>
        </a:p>
        <a:p>
          <a:r>
            <a:rPr sz="2400" b="1" i="1">
              <a:solidFill>
                <a:schemeClr val="accent1">
                  <a:lumMod val="50000"/>
                </a:schemeClr>
              </a:solidFill>
              <a:latin typeface="+mn-lt"/>
              <a:ea typeface="+mn-lt"/>
              <a:cs typeface="+mn-lt"/>
            </a:rPr>
            <a:t>Income: </a:t>
          </a:r>
          <a:r>
            <a:rPr sz="2400" b="0" i="0">
              <a:solidFill>
                <a:schemeClr val="tx1"/>
              </a:solidFill>
              <a:latin typeface="+mn-lt"/>
              <a:ea typeface="+mn-lt"/>
              <a:cs typeface="+mn-lt"/>
            </a:rPr>
            <a:t>The Platinum Plan brings your income up to from $88,384.00 to </a:t>
          </a:r>
          <a:r>
            <a:rPr sz="2400" b="0" i="0" u="sng">
              <a:solidFill>
                <a:schemeClr val="tx1"/>
              </a:solidFill>
              <a:latin typeface="+mn-lt"/>
              <a:ea typeface="+mn-lt"/>
              <a:cs typeface="+mn-lt"/>
            </a:rPr>
            <a:t>$110,399.45 per year</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Moving money to fund the hybrids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 moving money from an existing IRA's to a new IRA, this is a </a:t>
          </a:r>
          <a:r>
            <a:rPr sz="2400">
              <a:solidFill>
                <a:schemeClr val="tx1"/>
              </a:solidFill>
              <a:latin typeface="+mn-lt"/>
              <a:ea typeface="+mn-lt"/>
              <a:cs typeface="+mn-lt"/>
            </a:rPr>
            <a:t>non-taxable event.  Even if there are some minor costs with moving the money, they will be covered by the 8% bonus you'll receive.</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Income Bonus: </a:t>
          </a:r>
          <a:r>
            <a:rPr sz="2400" b="0" i="0">
              <a:solidFill>
                <a:schemeClr val="tx1"/>
              </a:solidFill>
              <a:latin typeface="+mn-lt"/>
              <a:ea typeface="+mn-lt"/>
              <a:cs typeface="+mn-lt"/>
            </a:rPr>
            <a:t>This Hybrid Plan adds an instant 8% bonus to your $411,500 account balances. </a:t>
          </a:r>
          <a:endParaRPr/>
        </a:p>
        <a:p>
          <a:endParaRPr/>
        </a:p>
        <a:p>
          <a:pPr algn="ctr">
            <a:buNone/>
          </a:pPr>
          <a:r>
            <a:rPr sz="2400" b="1" i="0" u="sng">
              <a:solidFill>
                <a:schemeClr val="tx1"/>
              </a:solidFill>
              <a:latin typeface="+mn-lt"/>
              <a:ea typeface="+mn-lt"/>
              <a:cs typeface="+mn-lt"/>
            </a:rPr>
            <a:t>8% or $32,920.00 is the amount of money that is added to your $411,500 investment.</a:t>
          </a:r>
          <a:endParaRPr/>
        </a:p>
        <a:p>
          <a:pPr algn="ctr">
            <a:buNone/>
          </a:pPr>
          <a:r>
            <a:rPr sz="2400" b="1" i="0" u="sng">
              <a:solidFill>
                <a:schemeClr val="tx1"/>
              </a:solidFill>
              <a:latin typeface="+mn-lt"/>
              <a:ea typeface="+mn-lt"/>
              <a:cs typeface="+mn-lt"/>
            </a:rPr>
            <a:t>Your account earns compounded interest based on total of $444,420.00 from day one.</a:t>
          </a:r>
          <a:endParaRPr/>
        </a:p>
        <a:p>
          <a:r>
            <a:rPr sz="2400">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and Guaranteed Minimum Earnings:  </a:t>
          </a:r>
          <a:r>
            <a:rPr sz="2400">
              <a:solidFill>
                <a:schemeClr val="tx1"/>
              </a:solidFill>
              <a:latin typeface="+mn-lt"/>
              <a:ea typeface="+mn-lt"/>
              <a:cs typeface="+mn-lt"/>
            </a:rPr>
            <a:t>This plan lowers some of the money management and turnover expenses; you are currently paying</a:t>
          </a:r>
          <a:r>
            <a:rPr sz="2400" b="1" u="sng">
              <a:solidFill>
                <a:schemeClr val="tx1"/>
              </a:solidFill>
              <a:latin typeface="+mn-lt"/>
              <a:ea typeface="+mn-lt"/>
              <a:cs typeface="+mn-lt"/>
            </a:rPr>
            <a:t> $90,384 per year. </a:t>
          </a:r>
          <a:endParaRPr/>
        </a:p>
        <a:p>
          <a:endParaRPr/>
        </a:p>
        <a:p>
          <a:pPr algn="ctr">
            <a:buNone/>
          </a:pPr>
          <a:r>
            <a:rPr sz="2400" b="0" u="sng">
              <a:solidFill>
                <a:schemeClr val="tx1"/>
              </a:solidFill>
              <a:latin typeface="+mn-lt"/>
              <a:ea typeface="+mn-lt"/>
              <a:cs typeface="+mn-lt"/>
            </a:rPr>
            <a:t>The Hybrid is a low cost solution at just 0.75% it works out to just $3,086 per year on $411,500</a:t>
          </a:r>
          <a:r>
            <a:rPr sz="2400" b="0">
              <a:solidFill>
                <a:schemeClr val="tx1"/>
              </a:solidFill>
              <a:latin typeface="+mn-lt"/>
              <a:ea typeface="+mn-lt"/>
              <a:cs typeface="+mn-lt"/>
            </a:rPr>
            <a:t>. </a:t>
          </a:r>
          <a:endParaRPr/>
        </a:p>
        <a:p>
          <a:endParaRPr/>
        </a:p>
        <a:p>
          <a:r>
            <a:rPr sz="2400" b="1" i="1">
              <a:solidFill>
                <a:schemeClr val="accent1">
                  <a:lumMod val="50000"/>
                </a:schemeClr>
              </a:solidFill>
              <a:latin typeface="+mn-lt"/>
              <a:ea typeface="+mn-lt"/>
              <a:cs typeface="+mn-lt"/>
            </a:rPr>
            <a:t>The Hybrid Plan provides an income account that grows at minimum guaranteed rate of 5.5% </a:t>
          </a:r>
          <a:r>
            <a:rPr sz="2400">
              <a:solidFill>
                <a:schemeClr val="tx1"/>
              </a:solidFill>
              <a:latin typeface="+mn-lt"/>
              <a:ea typeface="+mn-lt"/>
              <a:cs typeface="+mn-lt"/>
            </a:rPr>
            <a:t>and gives you the market gains if it earns more. You get whichever performed better.</a:t>
          </a:r>
          <a:endParaRPr/>
        </a:p>
        <a:p>
          <a:endParaRPr/>
        </a:p>
      </xdr:txBody>
    </xdr:sp>
    <xdr:clientData/>
  </xdr:oneCellAnchor>
</xdr:wsDr>
</file>

<file path=xl/drawings/drawing72.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609600</xdr:colOff>
      <xdr:row>36</xdr:row>
      <xdr:rowOff>123825</xdr:rowOff>
    </xdr:to>
    <xdr:graphicFrame macro="">
      <xdr:nvGraphicFramePr>
        <xdr:cNvPr id="2" name="Chart">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35</xdr:row>
      <xdr:rowOff>123265</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4E00-000003000000}"/>
            </a:ext>
          </a:extLst>
        </xdr:cNvPr>
        <xdr:cNvSpPr>
          <a:spLocks noGrp="1"/>
        </xdr:cNvSpPr>
      </xdr:nvSpPr>
      <xdr:spPr>
        <a:xfrm>
          <a:off x="0" y="8229040"/>
          <a:ext cx="11915775" cy="148646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4F00-000002000000}"/>
            </a:ext>
          </a:extLst>
        </xdr:cNvPr>
        <xdr:cNvSpPr>
          <a:spLocks noGrp="1"/>
        </xdr:cNvSpPr>
      </xdr:nvSpPr>
      <xdr:spPr>
        <a:xfrm>
          <a:off x="853440" y="281940"/>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3996034" cy="24765000"/>
    <xdr:sp macro="" textlink="">
      <xdr:nvSpPr>
        <xdr:cNvPr id="3" name="TextBox 2">
          <a:extLst>
            <a:ext uri="{FF2B5EF4-FFF2-40B4-BE49-F238E27FC236}">
              <a16:creationId xmlns:a16="http://schemas.microsoft.com/office/drawing/2014/main" id="{00000000-0008-0000-4F00-000003000000}"/>
            </a:ext>
          </a:extLst>
        </xdr:cNvPr>
        <xdr:cNvSpPr>
          <a:spLocks noGrp="1"/>
        </xdr:cNvSpPr>
      </xdr:nvSpPr>
      <xdr:spPr>
        <a:xfrm>
          <a:off x="238126" y="0"/>
          <a:ext cx="13996034" cy="24765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Gold Income Strategy - with</a:t>
          </a:r>
          <a:endParaRPr/>
        </a:p>
        <a:p>
          <a:pPr algn="ctr">
            <a:buNone/>
          </a:pPr>
          <a:r>
            <a:rPr sz="3600" b="1">
              <a:solidFill>
                <a:schemeClr val="accent1">
                  <a:lumMod val="50000"/>
                </a:schemeClr>
              </a:solidFill>
              <a:latin typeface="+mn-lt"/>
              <a:ea typeface="+mn-lt"/>
              <a:cs typeface="+mn-lt"/>
            </a:rPr>
            <a:t>Inflation Protection and Asset Protection</a:t>
          </a:r>
          <a:endParaRPr/>
        </a:p>
        <a:p>
          <a:endParaRPr/>
        </a:p>
        <a:p>
          <a:r>
            <a:rPr sz="2400" b="1" i="0">
              <a:solidFill>
                <a:schemeClr val="accent1">
                  <a:lumMod val="50000"/>
                </a:schemeClr>
              </a:solidFill>
              <a:latin typeface="+mn-lt"/>
              <a:ea typeface="+mn-lt"/>
              <a:cs typeface="+mn-lt"/>
            </a:rPr>
            <a:t>The gold income strategy addresses the Investment Weighting Risk Problem: </a:t>
          </a:r>
          <a:r>
            <a:rPr sz="2400" b="0">
              <a:solidFill>
                <a:schemeClr val="tx1"/>
              </a:solidFill>
              <a:latin typeface="+mn-lt"/>
              <a:ea typeface="+mn-lt"/>
              <a:cs typeface="+mn-lt"/>
            </a:rPr>
            <a:t>Based on third party MorningStar research models, the amount of market sensitive investments for an aggressive couple of your average age is 46%; </a:t>
          </a:r>
          <a:r>
            <a:rPr sz="1400" b="0">
              <a:solidFill>
                <a:schemeClr val="tx1"/>
              </a:solidFill>
              <a:latin typeface="+mn-lt"/>
              <a:ea typeface="+mn-lt"/>
              <a:cs typeface="+mn-lt"/>
            </a:rPr>
            <a:t>(110- age 64=46) </a:t>
          </a:r>
          <a:r>
            <a:rPr sz="2400" b="0">
              <a:solidFill>
                <a:schemeClr val="tx1"/>
              </a:solidFill>
              <a:latin typeface="+mn-lt"/>
              <a:ea typeface="+mn-lt"/>
              <a:cs typeface="+mn-lt"/>
            </a:rPr>
            <a:t>however you currently have 85</a:t>
          </a:r>
          <a:r>
            <a:rPr sz="2400">
              <a:solidFill>
                <a:schemeClr val="tx1"/>
              </a:solidFill>
              <a:latin typeface="+mn-lt"/>
              <a:ea typeface="+mn-lt"/>
              <a:cs typeface="+mn-lt"/>
            </a:rPr>
            <a:t>% of your wealth at risk in the market place. Your life savings is invested in a combination of mutual funds, and bonds. The mutual funds are subject to market risk and the bonds are subject to interest rate risk. We know that interest rates are at a 50 year low; bonds will definitely lose money as interest rates rise. </a:t>
          </a:r>
          <a:endParaRPr/>
        </a:p>
        <a:p>
          <a:endParaRPr/>
        </a:p>
        <a:p>
          <a:pPr algn="ctr">
            <a:buNone/>
          </a:pPr>
          <a:r>
            <a:rPr sz="2400" b="0">
              <a:solidFill>
                <a:schemeClr val="accent1">
                  <a:lumMod val="50000"/>
                </a:schemeClr>
              </a:solidFill>
              <a:latin typeface="+mn-lt"/>
              <a:ea typeface="+mn-lt"/>
              <a:cs typeface="+mn-lt"/>
            </a:rPr>
            <a:t>The goal of this income strategy is to follow Warren Buffet's Rules of Investing. </a:t>
          </a:r>
          <a:endParaRPr/>
        </a:p>
        <a:p>
          <a:pPr algn="ctr">
            <a:buNone/>
          </a:pPr>
          <a:r>
            <a:rPr sz="2400" b="0">
              <a:solidFill>
                <a:schemeClr val="accent1">
                  <a:lumMod val="50000"/>
                </a:schemeClr>
              </a:solidFill>
              <a:latin typeface="+mn-lt"/>
              <a:ea typeface="+mn-lt"/>
              <a:cs typeface="+mn-lt"/>
            </a:rPr>
            <a:t>#1 Don't lose money and #2 Don't forget Rule #1.</a:t>
          </a:r>
          <a:endParaRPr/>
        </a:p>
        <a:p>
          <a:endParaRPr/>
        </a:p>
        <a:p>
          <a:pPr algn="l">
            <a:buNone/>
          </a:pPr>
          <a:r>
            <a:rPr sz="2400" b="1" i="0" u="sng">
              <a:solidFill>
                <a:schemeClr val="accent1">
                  <a:lumMod val="50000"/>
                </a:schemeClr>
              </a:solidFill>
              <a:latin typeface="+mn-lt"/>
              <a:ea typeface="+mn-lt"/>
              <a:cs typeface="+mn-lt"/>
            </a:rPr>
            <a:t>With the Gold Income Strategy we are lower your Risk exposure from 85% down to 51%  </a:t>
          </a:r>
          <a:endParaRPr/>
        </a:p>
        <a:p>
          <a:endParaRPr/>
        </a:p>
        <a:p>
          <a:r>
            <a:rPr sz="2400" b="1" i="0">
              <a:solidFill>
                <a:schemeClr val="accent1">
                  <a:lumMod val="50000"/>
                </a:schemeClr>
              </a:solidFill>
              <a:latin typeface="+mn-lt"/>
              <a:ea typeface="+mn-lt"/>
              <a:cs typeface="+mn-lt"/>
            </a:rPr>
            <a:t>The Gold Income Strategy removes the need to be dependent on the Stock Market for Your Retirement Income. It provides guranteed income with built in inflation income protection and additional long term-care income protection should the need arise. </a:t>
          </a:r>
          <a:endParaRPr/>
        </a:p>
        <a:p>
          <a:endParaRPr/>
        </a:p>
        <a:p>
          <a:r>
            <a:rPr sz="2400" b="0" i="0">
              <a:solidFill>
                <a:schemeClr val="tx1"/>
              </a:solidFill>
              <a:latin typeface="+mn-lt"/>
              <a:ea typeface="+mn-lt"/>
              <a:cs typeface="+mn-lt"/>
            </a:rPr>
            <a:t>The 4% rule is a wonderful way to derive retirment income when the stock market is doing well and a poor rule when the stock market is not doing well. Many will</a:t>
          </a:r>
          <a:r>
            <a:rPr sz="2400" b="0">
              <a:solidFill>
                <a:schemeClr val="tx1"/>
              </a:solidFill>
              <a:latin typeface="+mn-lt"/>
              <a:ea typeface="+mn-lt"/>
              <a:cs typeface="+mn-lt"/>
            </a:rPr>
            <a:t> withdraw 4% off of assets to support themselves and cover lifestyle costs. When the stock market drops down in value, you will deplete assets if you sell market investments at a loss in those down years. You purchased bonds for income and risk protection and unfortuately you learned that these are some of your riskiest assets as they will automtically lose as interest rates rise. The Stock Market does not guarantee positive results. The only money you should have invested in the stock market, is money that you can afford to lose.</a:t>
          </a:r>
          <a:endParaRPr/>
        </a:p>
        <a:p>
          <a:pPr>
            <a:buNone/>
          </a:pPr>
          <a:endParaRPr/>
        </a:p>
        <a:p>
          <a:pPr>
            <a:buNone/>
          </a:pPr>
          <a:r>
            <a:rPr sz="2400" b="0" i="0">
              <a:solidFill>
                <a:schemeClr val="tx1"/>
              </a:solidFill>
              <a:latin typeface="+mn-lt"/>
              <a:ea typeface="+mn-lt"/>
              <a:cs typeface="+mn-lt"/>
            </a:rPr>
            <a:t>Your retirement income goal is to have $80,000 to $90,000 per year to live on. When we total up your Social Security and Pension Income sources, the total comes to $81,603 per year. This places you at the bottom of the $80,000 to $90,000 per year income range which is fine for 2017. The problem is that when the cost of living rises, your income won't. As the future cost of living increases you will be forced to make up the difference by drawing off of future investments. Dividends from Stocks is are not guaranteed and may not provide enough income. This means that you may have to sell off investments to meet your income needs. I</a:t>
          </a:r>
          <a:r>
            <a:rPr sz="2400" b="0">
              <a:solidFill>
                <a:schemeClr val="tx1"/>
              </a:solidFill>
              <a:latin typeface="+mn-lt"/>
              <a:ea typeface="+mn-lt"/>
              <a:cs typeface="+mn-lt"/>
            </a:rPr>
            <a:t>f the market happens to be up and covers the 4% withdraw amount you take out, you'll be just fine. However, if the market happens to be down, you'll </a:t>
          </a:r>
          <a:r>
            <a:rPr sz="2400" b="0" u="sng">
              <a:solidFill>
                <a:schemeClr val="tx1"/>
              </a:solidFill>
              <a:latin typeface="+mn-lt"/>
              <a:ea typeface="+mn-lt"/>
              <a:cs typeface="+mn-lt"/>
            </a:rPr>
            <a:t>run the risk of depleting assets and outliving your savings.</a:t>
          </a:r>
          <a:r>
            <a:rPr sz="2400" b="0" u="none">
              <a:solidFill>
                <a:schemeClr val="tx1"/>
              </a:solidFill>
              <a:latin typeface="+mn-lt"/>
              <a:ea typeface="+mn-lt"/>
              <a:cs typeface="+mn-lt"/>
            </a:rPr>
            <a:t> We need guaranteed income that increases over time as we can't predict the future.</a:t>
          </a:r>
          <a:endParaRPr/>
        </a:p>
        <a:p>
          <a:endParaRPr/>
        </a:p>
        <a:p>
          <a:r>
            <a:rPr sz="2400" b="1" i="1">
              <a:solidFill>
                <a:schemeClr val="accent1">
                  <a:lumMod val="50000"/>
                </a:schemeClr>
              </a:solidFill>
              <a:latin typeface="+mn-lt"/>
              <a:ea typeface="+mn-lt"/>
              <a:cs typeface="+mn-lt"/>
            </a:rPr>
            <a:t>Our recommendation: </a:t>
          </a:r>
          <a:r>
            <a:rPr sz="2400" b="1">
              <a:solidFill>
                <a:schemeClr val="accent1">
                  <a:lumMod val="50000"/>
                </a:schemeClr>
              </a:solidFill>
              <a:latin typeface="+mn-lt"/>
              <a:ea typeface="+mn-lt"/>
              <a:cs typeface="+mn-lt"/>
            </a:rPr>
            <a:t>do not sell off market investments in down market years at a loss</a:t>
          </a:r>
          <a:r>
            <a:rPr sz="2400" b="0">
              <a:solidFill>
                <a:schemeClr val="accent1">
                  <a:lumMod val="50000"/>
                </a:schemeClr>
              </a:solidFill>
              <a:latin typeface="+mn-lt"/>
              <a:ea typeface="+mn-lt"/>
              <a:cs typeface="+mn-lt"/>
            </a:rPr>
            <a:t>. </a:t>
          </a:r>
          <a:r>
            <a:rPr sz="2400" b="0">
              <a:solidFill>
                <a:schemeClr val="tx1"/>
              </a:solidFill>
              <a:latin typeface="+mn-lt"/>
              <a:ea typeface="+mn-lt"/>
              <a:cs typeface="+mn-lt"/>
            </a:rPr>
            <a:t>Instead replace your income by using non-market assets that provide guaranteed income. By using these income sources instead of market driven investments, you'll be able to wait for stock values to come back and resume selling at a break even or even greater gain, rather than at a loss.</a:t>
          </a:r>
          <a:endParaRPr/>
        </a:p>
        <a:p>
          <a:pPr>
            <a:buNone/>
          </a:pPr>
          <a:endParaRPr/>
        </a:p>
        <a:p>
          <a:pPr algn="ctr">
            <a:buNone/>
          </a:pPr>
          <a:r>
            <a:rPr sz="2400" b="1" i="1" u="sng">
              <a:solidFill>
                <a:schemeClr val="accent1">
                  <a:lumMod val="50000"/>
                </a:schemeClr>
              </a:solidFill>
              <a:latin typeface="+mn-lt"/>
              <a:ea typeface="+mn-lt"/>
              <a:cs typeface="+mn-lt"/>
            </a:rPr>
            <a:t>This Gold Income Plan calls for you to move $400,000 into non-market dependent protected assets to create additional inflation protected guaranteed income. </a:t>
          </a:r>
          <a:endParaRPr/>
        </a:p>
        <a:p>
          <a:endParaRPr/>
        </a:p>
        <a:p>
          <a:pPr algn="ctr">
            <a:buNone/>
          </a:pPr>
          <a:r>
            <a:rPr sz="2400" b="1" i="0">
              <a:solidFill>
                <a:schemeClr val="accent1">
                  <a:lumMod val="50000"/>
                </a:schemeClr>
              </a:solidFill>
              <a:latin typeface="+mn-lt"/>
              <a:ea typeface="+mn-lt"/>
              <a:cs typeface="+mn-lt"/>
            </a:rPr>
            <a:t>Here is a before and after Gold Income plan snapshot of your retirement finances: </a:t>
          </a:r>
          <a:r>
            <a:rPr sz="2400" b="0">
              <a:solidFill>
                <a:schemeClr val="accent1">
                  <a:lumMod val="50000"/>
                </a:schemeClr>
              </a:solidFill>
              <a:latin typeface="+mn-lt"/>
              <a:ea typeface="+mn-lt"/>
              <a:cs typeface="+mn-lt"/>
            </a:rPr>
            <a:t> </a:t>
          </a:r>
          <a:endParaRPr/>
        </a:p>
        <a:p>
          <a:endParaRPr/>
        </a:p>
        <a:p>
          <a:r>
            <a:rPr sz="2400" b="1" i="1">
              <a:solidFill>
                <a:schemeClr val="accent1">
                  <a:lumMod val="50000"/>
                </a:schemeClr>
              </a:solidFill>
              <a:latin typeface="+mn-lt"/>
              <a:ea typeface="+mn-lt"/>
              <a:cs typeface="+mn-lt"/>
            </a:rPr>
            <a:t>Income: </a:t>
          </a:r>
          <a:r>
            <a:rPr sz="2400" b="0" i="0">
              <a:solidFill>
                <a:schemeClr val="tx1"/>
              </a:solidFill>
              <a:latin typeface="+mn-lt"/>
              <a:ea typeface="+mn-lt"/>
              <a:cs typeface="+mn-lt"/>
            </a:rPr>
            <a:t>The Gold strategy brings your income up to from $81,603.12 to </a:t>
          </a:r>
          <a:r>
            <a:rPr sz="2400" b="0" i="0" u="sng">
              <a:solidFill>
                <a:schemeClr val="tx1"/>
              </a:solidFill>
              <a:latin typeface="+mn-lt"/>
              <a:ea typeface="+mn-lt"/>
              <a:cs typeface="+mn-lt"/>
            </a:rPr>
            <a:t>$111,403.86 per year</a:t>
          </a:r>
          <a:endParaRPr/>
        </a:p>
        <a:p>
          <a:endParaRPr/>
        </a:p>
        <a:p>
          <a:r>
            <a:rPr sz="2400" b="1" i="1">
              <a:solidFill>
                <a:schemeClr val="accent1">
                  <a:lumMod val="50000"/>
                </a:schemeClr>
              </a:solidFill>
              <a:latin typeface="+mn-lt"/>
              <a:ea typeface="+mn-lt"/>
              <a:cs typeface="+mn-lt"/>
            </a:rPr>
            <a:t>Moving money to fund the strategy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 using an "In Service Distribution" from your 401k to a new IRA, this is a </a:t>
          </a:r>
          <a:r>
            <a:rPr sz="2400">
              <a:solidFill>
                <a:schemeClr val="tx1"/>
              </a:solidFill>
              <a:latin typeface="+mn-lt"/>
              <a:ea typeface="+mn-lt"/>
              <a:cs typeface="+mn-lt"/>
            </a:rPr>
            <a:t>non-taxable event.  </a:t>
          </a:r>
          <a:endParaRPr/>
        </a:p>
        <a:p>
          <a:endParaRPr/>
        </a:p>
        <a:p>
          <a:r>
            <a:rPr sz="2400" b="1" i="1">
              <a:solidFill>
                <a:schemeClr val="accent1">
                  <a:lumMod val="50000"/>
                </a:schemeClr>
              </a:solidFill>
              <a:latin typeface="+mn-lt"/>
              <a:ea typeface="+mn-lt"/>
              <a:cs typeface="+mn-lt"/>
            </a:rPr>
            <a:t>Income Bonus: </a:t>
          </a:r>
          <a:r>
            <a:rPr sz="2400" b="0" i="0">
              <a:solidFill>
                <a:schemeClr val="tx1"/>
              </a:solidFill>
              <a:latin typeface="+mn-lt"/>
              <a:ea typeface="+mn-lt"/>
              <a:cs typeface="+mn-lt"/>
            </a:rPr>
            <a:t>This strategy adds an instant 8% bonus to your $400,000 account balances. </a:t>
          </a:r>
          <a:endParaRPr/>
        </a:p>
        <a:p>
          <a:endParaRPr/>
        </a:p>
        <a:p>
          <a:pPr algn="ctr">
            <a:buNone/>
          </a:pPr>
          <a:r>
            <a:rPr sz="2400" b="1" i="0" u="sng">
              <a:solidFill>
                <a:schemeClr val="tx1"/>
              </a:solidFill>
              <a:latin typeface="+mn-lt"/>
              <a:ea typeface="+mn-lt"/>
              <a:cs typeface="+mn-lt"/>
            </a:rPr>
            <a:t>8% or $32,000.00 is the amount of money that is added to your new $400,000 IRA.</a:t>
          </a:r>
          <a:endParaRPr/>
        </a:p>
        <a:p>
          <a:pPr algn="ctr">
            <a:buNone/>
          </a:pPr>
          <a:r>
            <a:rPr sz="2400" b="1" i="0" u="sng">
              <a:solidFill>
                <a:schemeClr val="tx1"/>
              </a:solidFill>
              <a:latin typeface="+mn-lt"/>
              <a:ea typeface="+mn-lt"/>
              <a:cs typeface="+mn-lt"/>
            </a:rPr>
            <a:t>Your account earns compounded interest based on total of $432,000.00 from day one.</a:t>
          </a:r>
          <a:endParaRPr/>
        </a:p>
        <a:p>
          <a:pPr algn="l">
            <a:buNone/>
          </a:pPr>
          <a:r>
            <a:rPr sz="2400">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t>
          </a:r>
          <a:r>
            <a:rPr sz="2400">
              <a:solidFill>
                <a:schemeClr val="tx1"/>
              </a:solidFill>
              <a:latin typeface="+mn-lt"/>
              <a:ea typeface="+mn-lt"/>
              <a:cs typeface="+mn-lt"/>
            </a:rPr>
            <a:t>There is no cost paid to me from your pocket to put this strategy into place. This is considered insurance and I will be compensated by the Inurance Company. There are no on-going management fees to deplete your principle, such as you would see with the typical brokeage account. This is not an investement, it's considered an insurance policy. The insurance company will be compensated by taking out 1% per per year from your profit.  </a:t>
          </a:r>
          <a:endParaRPr/>
        </a:p>
        <a:p>
          <a:endParaRPr/>
        </a:p>
        <a:p>
          <a:r>
            <a:rPr sz="2400" b="1" i="1">
              <a:solidFill>
                <a:schemeClr val="accent1">
                  <a:lumMod val="50000"/>
                </a:schemeClr>
              </a:solidFill>
              <a:latin typeface="+mn-lt"/>
              <a:ea typeface="+mn-lt"/>
              <a:cs typeface="+mn-lt"/>
            </a:rPr>
            <a:t>The produst itself provides an income account that grows at minimum guaranteed rate of 6% </a:t>
          </a:r>
          <a:r>
            <a:rPr sz="2400">
              <a:solidFill>
                <a:schemeClr val="tx1"/>
              </a:solidFill>
              <a:latin typeface="+mn-lt"/>
              <a:ea typeface="+mn-lt"/>
              <a:cs typeface="+mn-lt"/>
            </a:rPr>
            <a:t>and gives you the market gains if it earns more. When you decide to take income you get whichever performed better, the market gain or the income from the minimum guaranteed income account .</a:t>
          </a:r>
          <a:endParaRPr/>
        </a:p>
        <a:p>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0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1433174" cy="17800319"/>
    <xdr:sp macro="" textlink="">
      <xdr:nvSpPr>
        <xdr:cNvPr id="3" name="TextBox 2">
          <a:extLst>
            <a:ext uri="{FF2B5EF4-FFF2-40B4-BE49-F238E27FC236}">
              <a16:creationId xmlns:a16="http://schemas.microsoft.com/office/drawing/2014/main" id="{00000000-0008-0000-5000-000003000000}"/>
            </a:ext>
          </a:extLst>
        </xdr:cNvPr>
        <xdr:cNvSpPr>
          <a:spLocks noGrp="1"/>
        </xdr:cNvSpPr>
      </xdr:nvSpPr>
      <xdr:spPr>
        <a:xfrm>
          <a:off x="238126" y="0"/>
          <a:ext cx="11433174" cy="17800319"/>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Bronze Hybrid Fact Sheet</a:t>
          </a:r>
          <a:endParaRPr/>
        </a:p>
        <a:p>
          <a:endParaRPr/>
        </a:p>
        <a:p>
          <a:r>
            <a:rPr sz="2400" b="1">
              <a:solidFill>
                <a:schemeClr val="tx1"/>
              </a:solidFill>
              <a:latin typeface="+mn-lt"/>
              <a:ea typeface="+mn-lt"/>
              <a:cs typeface="+mn-lt"/>
            </a:rPr>
            <a:t>I. Current Portfolio Risks depleting assets that produce income: </a:t>
          </a:r>
          <a:r>
            <a:rPr sz="2400" b="0">
              <a:solidFill>
                <a:schemeClr val="tx1"/>
              </a:solidFill>
              <a:latin typeface="+mn-lt"/>
              <a:ea typeface="+mn-lt"/>
              <a:cs typeface="+mn-lt"/>
            </a:rPr>
            <a:t>Based on third party MorningStar research models, the suggested amount of market sensitive investments for an aggressive couple of your average age is 52%; however currently you have </a:t>
          </a:r>
          <a:r>
            <a:rPr sz="2400">
              <a:solidFill>
                <a:schemeClr val="tx1"/>
              </a:solidFill>
              <a:latin typeface="+mn-lt"/>
              <a:ea typeface="+mn-lt"/>
              <a:cs typeface="+mn-lt"/>
            </a:rPr>
            <a:t>91% of your wealth at risk in the market place. The money is invested in a combination of mutual funds and Variable Annuities that are subject to market risk and bonds that are subject to interest rate risk. </a:t>
          </a:r>
          <a:endParaRPr/>
        </a:p>
        <a:p>
          <a:endParaRPr/>
        </a:p>
        <a:p>
          <a:pPr algn="ctr">
            <a:buNone/>
          </a:pPr>
          <a:r>
            <a:rPr sz="2400" b="1" i="1" u="sng">
              <a:solidFill>
                <a:schemeClr val="accent1">
                  <a:lumMod val="50000"/>
                </a:schemeClr>
              </a:solidFill>
              <a:latin typeface="+mn-lt"/>
              <a:ea typeface="+mn-lt"/>
              <a:cs typeface="+mn-lt"/>
            </a:rPr>
            <a:t>The Bronze Hybrid Plan brings your risk exposure down from 91% to 80%  </a:t>
          </a:r>
          <a:endParaRPr/>
        </a:p>
        <a:p>
          <a:endParaRPr/>
        </a:p>
        <a:p>
          <a:r>
            <a:rPr sz="2400" b="1" i="0">
              <a:solidFill>
                <a:schemeClr val="tx1"/>
              </a:solidFill>
              <a:latin typeface="+mn-lt"/>
              <a:ea typeface="+mn-lt"/>
              <a:cs typeface="+mn-lt"/>
            </a:rPr>
            <a:t>II. Income Gap Issue: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a:solidFill>
                <a:schemeClr val="tx1"/>
              </a:solidFill>
              <a:latin typeface="+mn-lt"/>
              <a:ea typeface="+mn-lt"/>
              <a:cs typeface="+mn-lt"/>
            </a:rPr>
            <a:t>Plan is to withdraw 4% off of assets to support yourself and cover lifestyle costs, however stock market fluctuations may cause you to deplete assets by having to sell market investments at a loss in down years.</a:t>
          </a:r>
          <a:endParaRPr/>
        </a:p>
        <a:p>
          <a:pPr>
            <a:buNone/>
          </a:pPr>
          <a:endParaRPr/>
        </a:p>
        <a:p>
          <a:pPr>
            <a:buNone/>
          </a:pPr>
          <a:r>
            <a:rPr sz="2400" b="0" i="0">
              <a:solidFill>
                <a:schemeClr val="tx1"/>
              </a:solidFill>
              <a:latin typeface="+mn-lt"/>
              <a:ea typeface="+mn-lt"/>
              <a:cs typeface="+mn-lt"/>
            </a:rPr>
            <a:t>Currently, your goal is to have $110,000 per year to live on. However, after totaling up your Social Security, Pension and Variable Annuity Income sources.  The total comes to $88,384 per year. This places you short of your $110,000 income goal by $21,612.50 per year.  This difference will have to be made up by drawing off of future stock investments.</a:t>
          </a:r>
          <a:endParaRPr/>
        </a:p>
        <a:p>
          <a:pPr>
            <a:buNone/>
          </a:pPr>
          <a:endParaRPr/>
        </a:p>
        <a:p>
          <a:pPr>
            <a:buNone/>
          </a:pPr>
          <a:r>
            <a:rPr sz="2400" b="0">
              <a:solidFill>
                <a:schemeClr val="tx1"/>
              </a:solidFill>
              <a:latin typeface="+mn-lt"/>
              <a:ea typeface="+mn-lt"/>
              <a:cs typeface="+mn-lt"/>
            </a:rPr>
            <a:t>If the market grows enough to cover the 4% withdraw amount you'll be just fine. However, if it doesn't, you </a:t>
          </a:r>
          <a:r>
            <a:rPr sz="2400" b="0" u="sng">
              <a:solidFill>
                <a:schemeClr val="tx1"/>
              </a:solidFill>
              <a:latin typeface="+mn-lt"/>
              <a:ea typeface="+mn-lt"/>
              <a:cs typeface="+mn-lt"/>
            </a:rPr>
            <a:t>run the risk of depleting assets and outliving your savings.</a:t>
          </a:r>
          <a:endParaRPr/>
        </a:p>
        <a:p>
          <a:endParaRPr/>
        </a:p>
        <a:p>
          <a:r>
            <a:rPr sz="2400" b="1">
              <a:solidFill>
                <a:schemeClr val="tx1"/>
              </a:solidFill>
              <a:latin typeface="+mn-lt"/>
              <a:ea typeface="+mn-lt"/>
              <a:cs typeface="+mn-lt"/>
            </a:rPr>
            <a:t>Our recommendation: do not sell off market investments in down market years at a loss</a:t>
          </a:r>
          <a:r>
            <a:rPr sz="2400" b="0">
              <a:solidFill>
                <a:schemeClr val="tx1"/>
              </a:solidFill>
              <a:latin typeface="+mn-lt"/>
              <a:ea typeface="+mn-lt"/>
              <a:cs typeface="+mn-lt"/>
            </a:rPr>
            <a:t>. Instead replace your income using non-market assets that generate income. By using this income instead, you'll be able to wait for the market and your stock values to come back, rather than selling at a loss.</a:t>
          </a:r>
          <a:endParaRPr/>
        </a:p>
        <a:p>
          <a:pPr algn="ctr">
            <a:buNone/>
          </a:pPr>
          <a:endParaRPr/>
        </a:p>
        <a:p>
          <a:pPr algn="ctr">
            <a:buNone/>
          </a:pPr>
          <a:r>
            <a:rPr sz="2400" b="1" i="1" u="sng">
              <a:solidFill>
                <a:schemeClr val="accent1">
                  <a:lumMod val="50000"/>
                </a:schemeClr>
              </a:solidFill>
              <a:latin typeface="+mn-lt"/>
              <a:ea typeface="+mn-lt"/>
              <a:cs typeface="+mn-lt"/>
            </a:rPr>
            <a:t>This Bronze Hybrid Plan calls for you to move $300,000 from risk base assets to more efficient Hyrbid Investments to create the income needed to cover the shortfall </a:t>
          </a:r>
          <a:endParaRPr/>
        </a:p>
        <a:p>
          <a:pPr algn="ctr">
            <a:buNone/>
          </a:pPr>
          <a:r>
            <a:rPr sz="2400" b="1" i="1" u="sng">
              <a:solidFill>
                <a:schemeClr val="accent1">
                  <a:lumMod val="50000"/>
                </a:schemeClr>
              </a:solidFill>
              <a:latin typeface="+mn-lt"/>
              <a:ea typeface="+mn-lt"/>
              <a:cs typeface="+mn-lt"/>
            </a:rPr>
            <a:t>in down market years. </a:t>
          </a:r>
          <a:endParaRPr/>
        </a:p>
        <a:p>
          <a:endParaRPr/>
        </a:p>
        <a:p>
          <a:r>
            <a:rPr sz="2400" b="1" i="0">
              <a:solidFill>
                <a:schemeClr val="tx1"/>
              </a:solidFill>
              <a:latin typeface="+mn-lt"/>
              <a:ea typeface="+mn-lt"/>
              <a:cs typeface="+mn-lt"/>
            </a:rPr>
            <a:t>III. Before and after Income plan snapshot: </a:t>
          </a:r>
          <a:r>
            <a:rPr sz="2400" b="0">
              <a:solidFill>
                <a:schemeClr val="tx1"/>
              </a:solidFill>
              <a:latin typeface="+mn-lt"/>
              <a:ea typeface="+mn-lt"/>
              <a:cs typeface="+mn-lt"/>
            </a:rPr>
            <a:t> </a:t>
          </a:r>
          <a:endParaRPr/>
        </a:p>
        <a:p>
          <a:endParaRPr/>
        </a:p>
        <a:p>
          <a:pPr algn="ctr">
            <a:buNone/>
          </a:pPr>
          <a:r>
            <a:rPr sz="2400" b="1" i="1">
              <a:solidFill>
                <a:schemeClr val="accent1">
                  <a:lumMod val="50000"/>
                </a:schemeClr>
              </a:solidFill>
              <a:latin typeface="+mn-lt"/>
              <a:ea typeface="+mn-lt"/>
              <a:cs typeface="+mn-lt"/>
            </a:rPr>
            <a:t>Income: This Plan brings your income up to from $88,384.00 to </a:t>
          </a:r>
          <a:r>
            <a:rPr sz="2400" b="1" i="1" u="sng">
              <a:solidFill>
                <a:schemeClr val="accent1">
                  <a:lumMod val="50000"/>
                </a:schemeClr>
              </a:solidFill>
              <a:latin typeface="+mn-lt"/>
              <a:ea typeface="+mn-lt"/>
              <a:cs typeface="+mn-lt"/>
            </a:rPr>
            <a:t>$104,435.09 per year</a:t>
          </a:r>
          <a:endParaRPr/>
        </a:p>
        <a:p>
          <a:r>
            <a:rPr sz="2400" b="1" i="1">
              <a:solidFill>
                <a:schemeClr val="tx1"/>
              </a:solidFill>
              <a:latin typeface="+mn-lt"/>
              <a:ea typeface="+mn-lt"/>
              <a:cs typeface="+mn-lt"/>
            </a:rPr>
            <a:t>     </a:t>
          </a:r>
          <a:endParaRPr/>
        </a:p>
        <a:p>
          <a:r>
            <a:rPr sz="2400" b="1" i="1">
              <a:solidFill>
                <a:schemeClr val="tx1"/>
              </a:solidFill>
              <a:latin typeface="+mn-lt"/>
              <a:ea typeface="+mn-lt"/>
              <a:cs typeface="+mn-lt"/>
            </a:rPr>
            <a:t>Moving money to fund the hybrids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funds--moving money from an existing IRA's to a new IRA, this is a </a:t>
          </a:r>
          <a:r>
            <a:rPr sz="2400">
              <a:solidFill>
                <a:schemeClr val="tx1"/>
              </a:solidFill>
              <a:latin typeface="+mn-lt"/>
              <a:ea typeface="+mn-lt"/>
              <a:cs typeface="+mn-lt"/>
            </a:rPr>
            <a:t>non-taxable event.  </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Income Bonus: </a:t>
          </a:r>
          <a:r>
            <a:rPr sz="2400" b="0" i="0">
              <a:solidFill>
                <a:schemeClr val="accent1">
                  <a:lumMod val="50000"/>
                </a:schemeClr>
              </a:solidFill>
              <a:latin typeface="+mn-lt"/>
              <a:ea typeface="+mn-lt"/>
              <a:cs typeface="+mn-lt"/>
            </a:rPr>
            <a:t>This plan also adds an 8% bonus to your account balance that totals to </a:t>
          </a:r>
          <a:endParaRPr/>
        </a:p>
        <a:p>
          <a:pPr algn="ctr">
            <a:buNone/>
          </a:pPr>
          <a:r>
            <a:rPr sz="2400" b="1" i="0" u="sng">
              <a:solidFill>
                <a:schemeClr val="accent1">
                  <a:lumMod val="50000"/>
                </a:schemeClr>
              </a:solidFill>
              <a:latin typeface="+mn-lt"/>
              <a:ea typeface="+mn-lt"/>
              <a:cs typeface="+mn-lt"/>
            </a:rPr>
            <a:t>$24,000.00 and will earn compounded interest based on $324,000 from day one.</a:t>
          </a:r>
          <a:endParaRPr/>
        </a:p>
        <a:p>
          <a:r>
            <a:rPr sz="2400">
              <a:solidFill>
                <a:schemeClr val="tx1"/>
              </a:solidFill>
              <a:latin typeface="+mn-lt"/>
              <a:ea typeface="+mn-lt"/>
              <a:cs typeface="+mn-lt"/>
            </a:rPr>
            <a:t>    </a:t>
          </a:r>
          <a:endParaRPr/>
        </a:p>
        <a:p>
          <a:r>
            <a:rPr sz="2400" b="1" i="1">
              <a:solidFill>
                <a:sysClr val="windowText" lastClr="000000"/>
              </a:solidFill>
              <a:latin typeface="+mn-lt"/>
              <a:ea typeface="+mn-lt"/>
              <a:cs typeface="+mn-lt"/>
            </a:rPr>
            <a:t>Management Costs:  </a:t>
          </a:r>
          <a:r>
            <a:rPr sz="2400">
              <a:solidFill>
                <a:schemeClr val="accent1">
                  <a:lumMod val="50000"/>
                </a:schemeClr>
              </a:solidFill>
              <a:latin typeface="+mn-lt"/>
              <a:ea typeface="+mn-lt"/>
              <a:cs typeface="+mn-lt"/>
            </a:rPr>
            <a:t>This plan lowers some of the money management and turnover expenes </a:t>
          </a:r>
          <a:r>
            <a:rPr sz="2400" b="1" u="sng">
              <a:solidFill>
                <a:schemeClr val="accent1">
                  <a:lumMod val="50000"/>
                </a:schemeClr>
              </a:solidFill>
              <a:latin typeface="+mn-lt"/>
              <a:ea typeface="+mn-lt"/>
              <a:cs typeface="+mn-lt"/>
            </a:rPr>
            <a:t>from  $90,384 per year to just $2,250 per year</a:t>
          </a:r>
          <a:r>
            <a:rPr sz="2400" b="0">
              <a:solidFill>
                <a:schemeClr val="accent1">
                  <a:lumMod val="50000"/>
                </a:schemeClr>
              </a:solidFill>
              <a:latin typeface="+mn-lt"/>
              <a:ea typeface="+mn-lt"/>
              <a:cs typeface="+mn-lt"/>
            </a:rPr>
            <a:t>. </a:t>
          </a:r>
          <a:r>
            <a:rPr sz="2400">
              <a:solidFill>
                <a:schemeClr val="tx1"/>
              </a:solidFill>
              <a:latin typeface="+mn-lt"/>
              <a:ea typeface="+mn-lt"/>
              <a:cs typeface="+mn-lt"/>
            </a:rPr>
            <a:t>In addition the plan provides an income account that grows at minumum guaranteed rate of 5.5% and gives you the market if it is higher.</a:t>
          </a:r>
          <a:endParaRPr/>
        </a:p>
        <a:p>
          <a:endParaRPr/>
        </a:p>
      </xdr:txBody>
    </xdr:sp>
    <xdr:clientData/>
  </xdr:oneCellAnchor>
</xdr:wsDr>
</file>

<file path=xl/drawings/drawing75.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100-000002000000}"/>
            </a:ext>
          </a:extLst>
        </xdr:cNvPr>
        <xdr:cNvSpPr>
          <a:spLocks noGrp="1"/>
        </xdr:cNvSpPr>
      </xdr:nvSpPr>
      <xdr:spPr>
        <a:xfrm>
          <a:off x="47624" y="8629649"/>
          <a:ext cx="1156227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190500</xdr:colOff>
      <xdr:row>6</xdr:row>
      <xdr:rowOff>102394</xdr:rowOff>
    </xdr:to>
    <xdr:pic>
      <xdr:nvPicPr>
        <xdr:cNvPr id="3" name="/xl/media/image14.png">
          <a:extLst>
            <a:ext uri="{FF2B5EF4-FFF2-40B4-BE49-F238E27FC236}">
              <a16:creationId xmlns:a16="http://schemas.microsoft.com/office/drawing/2014/main" id="{00000000-0008-0000-5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2</xdr:col>
      <xdr:colOff>381000</xdr:colOff>
      <xdr:row>1</xdr:row>
      <xdr:rowOff>76200</xdr:rowOff>
    </xdr:to>
    <xdr:sp macro="" textlink="">
      <xdr:nvSpPr>
        <xdr:cNvPr id="2" name="TextBox 1">
          <a:extLst>
            <a:ext uri="{FF2B5EF4-FFF2-40B4-BE49-F238E27FC236}">
              <a16:creationId xmlns:a16="http://schemas.microsoft.com/office/drawing/2014/main" id="{00000000-0008-0000-5200-000002000000}"/>
            </a:ext>
          </a:extLst>
        </xdr:cNvPr>
        <xdr:cNvSpPr>
          <a:spLocks noGrp="1"/>
        </xdr:cNvSpPr>
      </xdr:nvSpPr>
      <xdr:spPr>
        <a:xfrm>
          <a:off x="634365" y="152400"/>
          <a:ext cx="996315" cy="9144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xdr:txBody>
    </xdr:sp>
    <xdr:clientData/>
  </xdr:twoCellAnchor>
  <xdr:oneCellAnchor>
    <xdr:from>
      <xdr:col>0</xdr:col>
      <xdr:colOff>9525</xdr:colOff>
      <xdr:row>0</xdr:row>
      <xdr:rowOff>1227</xdr:rowOff>
    </xdr:from>
    <xdr:ext cx="10296525" cy="1141773"/>
    <xdr:sp macro="" textlink="">
      <xdr:nvSpPr>
        <xdr:cNvPr id="3" name="TextBox 2">
          <a:extLst>
            <a:ext uri="{FF2B5EF4-FFF2-40B4-BE49-F238E27FC236}">
              <a16:creationId xmlns:a16="http://schemas.microsoft.com/office/drawing/2014/main" id="{00000000-0008-0000-5200-000003000000}"/>
            </a:ext>
          </a:extLst>
        </xdr:cNvPr>
        <xdr:cNvSpPr>
          <a:spLocks noGrp="1"/>
        </xdr:cNvSpPr>
      </xdr:nvSpPr>
      <xdr:spPr>
        <a:xfrm>
          <a:off x="9525" y="1227"/>
          <a:ext cx="10296525" cy="1141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2000"/>
            <a:t>		</a:t>
          </a:r>
          <a:endParaRPr/>
        </a:p>
        <a:p>
          <a:pPr algn="ctr">
            <a:buNone/>
          </a:pPr>
          <a:r>
            <a:rPr sz="2000"/>
            <a:t>Instead of Putting My Money in the Market, I'll keep it in the Bank</a:t>
          </a:r>
          <a:endParaRPr/>
        </a:p>
      </xdr:txBody>
    </xdr:sp>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4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380999</xdr:colOff>
      <xdr:row>6</xdr:row>
      <xdr:rowOff>159544</xdr:rowOff>
    </xdr:to>
    <xdr:pic>
      <xdr:nvPicPr>
        <xdr:cNvPr id="3" name="/xl/media/image14.png">
          <a:extLst>
            <a:ext uri="{FF2B5EF4-FFF2-40B4-BE49-F238E27FC236}">
              <a16:creationId xmlns:a16="http://schemas.microsoft.com/office/drawing/2014/main" id="{00000000-0008-0000-5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5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380999</xdr:colOff>
      <xdr:row>6</xdr:row>
      <xdr:rowOff>159544</xdr:rowOff>
    </xdr:to>
    <xdr:pic>
      <xdr:nvPicPr>
        <xdr:cNvPr id="3" name="/xl/media/image14.png">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600-000002000000}"/>
            </a:ext>
          </a:extLst>
        </xdr:cNvPr>
        <xdr:cNvSpPr>
          <a:spLocks noGrp="1"/>
        </xdr:cNvSpPr>
      </xdr:nvSpPr>
      <xdr:spPr>
        <a:xfrm>
          <a:off x="47624" y="8629649"/>
          <a:ext cx="1156227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190499</xdr:colOff>
      <xdr:row>6</xdr:row>
      <xdr:rowOff>121444</xdr:rowOff>
    </xdr:to>
    <xdr:pic>
      <xdr:nvPicPr>
        <xdr:cNvPr id="3" name="/xl/media/image14.png">
          <a:extLst>
            <a:ext uri="{FF2B5EF4-FFF2-40B4-BE49-F238E27FC236}">
              <a16:creationId xmlns:a16="http://schemas.microsoft.com/office/drawing/2014/main" id="{00000000-0008-0000-5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22860</xdr:colOff>
      <xdr:row>8</xdr:row>
      <xdr:rowOff>30480</xdr:rowOff>
    </xdr:from>
    <xdr:to>
      <xdr:col>6</xdr:col>
      <xdr:colOff>68580</xdr:colOff>
      <xdr:row>26</xdr:row>
      <xdr:rowOff>137160</xdr:rowOff>
    </xdr:to>
    <xdr:sp macro="" textlink="">
      <xdr:nvSpPr>
        <xdr:cNvPr id="2" name="Rectangle 1">
          <a:extLst>
            <a:ext uri="{FF2B5EF4-FFF2-40B4-BE49-F238E27FC236}">
              <a16:creationId xmlns:a16="http://schemas.microsoft.com/office/drawing/2014/main" id="{00000000-0008-0000-0A00-000002000000}"/>
            </a:ext>
          </a:extLst>
        </xdr:cNvPr>
        <xdr:cNvSpPr>
          <a:spLocks noGrp="1"/>
        </xdr:cNvSpPr>
      </xdr:nvSpPr>
      <xdr:spPr>
        <a:xfrm>
          <a:off x="632460" y="1821180"/>
          <a:ext cx="5151120" cy="36042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2</xdr:col>
      <xdr:colOff>152400</xdr:colOff>
      <xdr:row>13</xdr:row>
      <xdr:rowOff>53340</xdr:rowOff>
    </xdr:from>
    <xdr:to>
      <xdr:col>5</xdr:col>
      <xdr:colOff>731520</xdr:colOff>
      <xdr:row>15</xdr:row>
      <xdr:rowOff>137160</xdr:rowOff>
    </xdr:to>
    <xdr:sp macro="" textlink="">
      <xdr:nvSpPr>
        <xdr:cNvPr id="3" name="Rectangle 3">
          <a:extLst>
            <a:ext uri="{FF2B5EF4-FFF2-40B4-BE49-F238E27FC236}">
              <a16:creationId xmlns:a16="http://schemas.microsoft.com/office/drawing/2014/main" id="{00000000-0008-0000-0A00-000003000000}"/>
            </a:ext>
          </a:extLst>
        </xdr:cNvPr>
        <xdr:cNvSpPr>
          <a:spLocks noGrp="1"/>
        </xdr:cNvSpPr>
      </xdr:nvSpPr>
      <xdr:spPr>
        <a:xfrm>
          <a:off x="1516380" y="2788920"/>
          <a:ext cx="3505200" cy="4724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ctr">
            <a:buNone/>
          </a:pPr>
          <a:r>
            <a:rPr sz="1200" b="1">
              <a:solidFill>
                <a:sysClr val="windowText" lastClr="000000"/>
              </a:solidFill>
            </a:rPr>
            <a:t>Historical Performance Data </a:t>
          </a:r>
          <a:endParaRPr/>
        </a:p>
        <a:p>
          <a:pPr algn="ctr">
            <a:buNone/>
          </a:pPr>
          <a:r>
            <a:rPr sz="1200" b="1">
              <a:solidFill>
                <a:sysClr val="windowText" lastClr="000000"/>
              </a:solidFill>
            </a:rPr>
            <a:t>Provided by MorningStar Investment Research </a:t>
          </a:r>
          <a:endParaRPr/>
        </a:p>
      </xdr:txBody>
    </xdr:sp>
    <xdr:clientData/>
  </xdr:twoCellAnchor>
  <xdr:twoCellAnchor editAs="oneCell">
    <xdr:from>
      <xdr:col>3</xdr:col>
      <xdr:colOff>83820</xdr:colOff>
      <xdr:row>9</xdr:row>
      <xdr:rowOff>182880</xdr:rowOff>
    </xdr:from>
    <xdr:to>
      <xdr:col>5</xdr:col>
      <xdr:colOff>236220</xdr:colOff>
      <xdr:row>13</xdr:row>
      <xdr:rowOff>180340</xdr:rowOff>
    </xdr:to>
    <xdr:pic>
      <xdr:nvPicPr>
        <xdr:cNvPr id="4" name="/xl/media/image7.jp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700-000002000000}"/>
            </a:ext>
          </a:extLst>
        </xdr:cNvPr>
        <xdr:cNvSpPr>
          <a:spLocks noGrp="1"/>
        </xdr:cNvSpPr>
      </xdr:nvSpPr>
      <xdr:spPr>
        <a:xfrm>
          <a:off x="0" y="10073787"/>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161192</xdr:rowOff>
    </xdr:to>
    <xdr:pic>
      <xdr:nvPicPr>
        <xdr:cNvPr id="3" name="/xl/media/image15.jpeg">
          <a:extLst>
            <a:ext uri="{FF2B5EF4-FFF2-40B4-BE49-F238E27FC236}">
              <a16:creationId xmlns:a16="http://schemas.microsoft.com/office/drawing/2014/main" id="{00000000-0008-0000-5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800-000002000000}"/>
            </a:ext>
          </a:extLst>
        </xdr:cNvPr>
        <xdr:cNvSpPr>
          <a:spLocks noGrp="1"/>
        </xdr:cNvSpPr>
      </xdr:nvSpPr>
      <xdr:spPr>
        <a:xfrm>
          <a:off x="0" y="10083312"/>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15.jpeg">
          <a:extLst>
            <a:ext uri="{FF2B5EF4-FFF2-40B4-BE49-F238E27FC236}">
              <a16:creationId xmlns:a16="http://schemas.microsoft.com/office/drawing/2014/main" id="{00000000-0008-0000-5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9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1</xdr:rowOff>
    </xdr:from>
    <xdr:ext cx="11433174" cy="17430750"/>
    <xdr:sp macro="" textlink="">
      <xdr:nvSpPr>
        <xdr:cNvPr id="3" name="TextBox 2">
          <a:extLst>
            <a:ext uri="{FF2B5EF4-FFF2-40B4-BE49-F238E27FC236}">
              <a16:creationId xmlns:a16="http://schemas.microsoft.com/office/drawing/2014/main" id="{00000000-0008-0000-5900-000003000000}"/>
            </a:ext>
          </a:extLst>
        </xdr:cNvPr>
        <xdr:cNvSpPr>
          <a:spLocks noGrp="1"/>
        </xdr:cNvSpPr>
      </xdr:nvSpPr>
      <xdr:spPr>
        <a:xfrm>
          <a:off x="238126" y="1"/>
          <a:ext cx="11433174" cy="1743075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a:solidFill>
                <a:schemeClr val="accent1">
                  <a:lumMod val="50000"/>
                </a:schemeClr>
              </a:solidFill>
              <a:latin typeface="+mn-lt"/>
              <a:ea typeface="+mn-lt"/>
              <a:cs typeface="+mn-lt"/>
            </a:rPr>
            <a:t>Platinum Hybrid Asset Protection Plan</a:t>
          </a:r>
          <a:endParaRPr/>
        </a:p>
        <a:p>
          <a:pPr algn="ctr">
            <a:buNone/>
          </a:pPr>
          <a:r>
            <a:rPr sz="3600">
              <a:solidFill>
                <a:schemeClr val="accent1">
                  <a:lumMod val="50000"/>
                </a:schemeClr>
              </a:solidFill>
              <a:latin typeface="+mn-lt"/>
              <a:ea typeface="+mn-lt"/>
              <a:cs typeface="+mn-lt"/>
            </a:rPr>
            <a:t>Recap and Fact Sheet</a:t>
          </a:r>
          <a:endParaRPr/>
        </a:p>
        <a:p>
          <a:endParaRPr/>
        </a:p>
        <a:p>
          <a:r>
            <a:rPr sz="2400" b="1">
              <a:solidFill>
                <a:schemeClr val="tx1"/>
              </a:solidFill>
              <a:latin typeface="+mn-lt"/>
              <a:ea typeface="+mn-lt"/>
              <a:cs typeface="+mn-lt"/>
            </a:rPr>
            <a:t>I. Current Portfolio Risks depleting assets that produce income: </a:t>
          </a:r>
          <a:r>
            <a:rPr sz="2400" b="0">
              <a:solidFill>
                <a:schemeClr val="tx1"/>
              </a:solidFill>
              <a:latin typeface="+mn-lt"/>
              <a:ea typeface="+mn-lt"/>
              <a:cs typeface="+mn-lt"/>
            </a:rPr>
            <a:t>Based on third party research models, the suggested amount of market sensative investments for a couple of your age is 57%; however, currently </a:t>
          </a:r>
          <a:r>
            <a:rPr sz="2400">
              <a:solidFill>
                <a:schemeClr val="tx1"/>
              </a:solidFill>
              <a:latin typeface="+mn-lt"/>
              <a:ea typeface="+mn-lt"/>
              <a:cs typeface="+mn-lt"/>
            </a:rPr>
            <a:t>97% of your wealth is at risk in the market place. </a:t>
          </a:r>
          <a:endParaRPr/>
        </a:p>
        <a:p>
          <a:endParaRPr/>
        </a:p>
        <a:p>
          <a:pPr algn="ctr">
            <a:buNone/>
          </a:pPr>
          <a:r>
            <a:rPr sz="2400" b="1" i="1" u="sng">
              <a:solidFill>
                <a:schemeClr val="accent1">
                  <a:lumMod val="50000"/>
                </a:schemeClr>
              </a:solidFill>
              <a:latin typeface="+mn-lt"/>
              <a:ea typeface="+mn-lt"/>
              <a:cs typeface="+mn-lt"/>
            </a:rPr>
            <a:t>This plan brings your risk exposure down from 97% to 50%  </a:t>
          </a:r>
          <a:endParaRPr/>
        </a:p>
        <a:p>
          <a:endParaRPr/>
        </a:p>
        <a:p>
          <a:r>
            <a:rPr sz="2400" b="1" i="0">
              <a:solidFill>
                <a:schemeClr val="tx1"/>
              </a:solidFill>
              <a:latin typeface="+mn-lt"/>
              <a:ea typeface="+mn-lt"/>
              <a:cs typeface="+mn-lt"/>
            </a:rPr>
            <a:t>II. Income Gap Issue: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a:solidFill>
                <a:schemeClr val="tx1"/>
              </a:solidFill>
              <a:latin typeface="+mn-lt"/>
              <a:ea typeface="+mn-lt"/>
              <a:cs typeface="+mn-lt"/>
            </a:rPr>
            <a:t>Plan is to withdraw 4% off of assets to support yourself and cover lifestyle costs, however stock market fluctuations may cause you to deplete assets by having to sell market investments at a loss in down years.</a:t>
          </a:r>
          <a:endParaRPr/>
        </a:p>
        <a:p>
          <a:pPr>
            <a:buNone/>
          </a:pPr>
          <a:r>
            <a:rPr sz="2400" b="0" i="0">
              <a:solidFill>
                <a:schemeClr val="tx1"/>
              </a:solidFill>
              <a:latin typeface="+mn-lt"/>
              <a:ea typeface="+mn-lt"/>
              <a:cs typeface="+mn-lt"/>
            </a:rPr>
            <a:t>Currently, your goal is to have $75,000 per year to live on. However, after totaling up your Social Security and Pension Income.  This totals to $55,452 per year based on retiring at ages of 66 and 63. This places you short of your income goal by $19,548.00 per year, and that difference would have to made up by drawing off of stock investments.</a:t>
          </a:r>
          <a:endParaRPr/>
        </a:p>
        <a:p>
          <a:pPr>
            <a:buNone/>
          </a:pPr>
          <a:r>
            <a:rPr sz="2400" b="0">
              <a:solidFill>
                <a:schemeClr val="tx1"/>
              </a:solidFill>
              <a:latin typeface="+mn-lt"/>
              <a:ea typeface="+mn-lt"/>
              <a:cs typeface="+mn-lt"/>
            </a:rPr>
            <a:t>If the market grows enough to cover the 4% withdraw amount you'll be just fine. However, if it doesn't, you </a:t>
          </a:r>
          <a:r>
            <a:rPr sz="2400" b="0" u="sng">
              <a:solidFill>
                <a:schemeClr val="tx1"/>
              </a:solidFill>
              <a:latin typeface="+mn-lt"/>
              <a:ea typeface="+mn-lt"/>
              <a:cs typeface="+mn-lt"/>
            </a:rPr>
            <a:t>run the risk of depleting assets and outliving your savings.</a:t>
          </a:r>
          <a:endParaRPr/>
        </a:p>
        <a:p>
          <a:endParaRPr/>
        </a:p>
        <a:p>
          <a:r>
            <a:rPr sz="2400" b="1">
              <a:solidFill>
                <a:schemeClr val="tx1"/>
              </a:solidFill>
              <a:latin typeface="+mn-lt"/>
              <a:ea typeface="+mn-lt"/>
              <a:cs typeface="+mn-lt"/>
            </a:rPr>
            <a:t>Our recommendation: do not sell off market investments in down market years at a loss</a:t>
          </a:r>
          <a:r>
            <a:rPr sz="2400" b="0">
              <a:solidFill>
                <a:schemeClr val="tx1"/>
              </a:solidFill>
              <a:latin typeface="+mn-lt"/>
              <a:ea typeface="+mn-lt"/>
              <a:cs typeface="+mn-lt"/>
            </a:rPr>
            <a:t>. Instead replace your income using non-market assets that generate income. By using this income instead, you'll be able to wait for the market and your stock values to come back, rather than selling at a loss.</a:t>
          </a:r>
          <a:endParaRPr/>
        </a:p>
        <a:p>
          <a:pPr>
            <a:buNone/>
          </a:pPr>
          <a:endParaRPr/>
        </a:p>
        <a:p>
          <a:pPr algn="ctr">
            <a:buNone/>
          </a:pPr>
          <a:r>
            <a:rPr sz="2400" b="1" i="1">
              <a:solidFill>
                <a:schemeClr val="accent1">
                  <a:lumMod val="50000"/>
                </a:schemeClr>
              </a:solidFill>
              <a:latin typeface="+mn-lt"/>
              <a:ea typeface="+mn-lt"/>
              <a:cs typeface="+mn-lt"/>
            </a:rPr>
            <a:t>This plan calls for you to move $600,000 from risk base assets to more efficient Hyrbid Investments to create a step up income that grows over time to cover the shortfall. </a:t>
          </a:r>
          <a:endParaRPr/>
        </a:p>
        <a:p>
          <a:endParaRPr/>
        </a:p>
        <a:p>
          <a:r>
            <a:rPr sz="2400" b="1" i="0">
              <a:solidFill>
                <a:schemeClr val="tx1"/>
              </a:solidFill>
              <a:latin typeface="+mn-lt"/>
              <a:ea typeface="+mn-lt"/>
              <a:cs typeface="+mn-lt"/>
            </a:rPr>
            <a:t>III. Before and after Income plan snapshot: </a:t>
          </a:r>
          <a:r>
            <a:rPr sz="2400" b="0">
              <a:solidFill>
                <a:schemeClr val="tx1"/>
              </a:solidFill>
              <a:latin typeface="+mn-lt"/>
              <a:ea typeface="+mn-lt"/>
              <a:cs typeface="+mn-lt"/>
            </a:rPr>
            <a:t> </a:t>
          </a:r>
          <a:endParaRPr/>
        </a:p>
        <a:p>
          <a:endParaRPr/>
        </a:p>
        <a:p>
          <a:pPr algn="ctr">
            <a:buNone/>
          </a:pPr>
          <a:r>
            <a:rPr sz="2400" b="1" i="1">
              <a:solidFill>
                <a:schemeClr val="accent1">
                  <a:lumMod val="50000"/>
                </a:schemeClr>
              </a:solidFill>
              <a:latin typeface="+mn-lt"/>
              <a:ea typeface="+mn-lt"/>
              <a:cs typeface="+mn-lt"/>
            </a:rPr>
            <a:t>Income: This Plan brings your income up from $55,452.00 to </a:t>
          </a:r>
          <a:r>
            <a:rPr sz="2400" b="1" i="1" u="sng">
              <a:solidFill>
                <a:schemeClr val="accent1">
                  <a:lumMod val="50000"/>
                </a:schemeClr>
              </a:solidFill>
              <a:latin typeface="+mn-lt"/>
              <a:ea typeface="+mn-lt"/>
              <a:cs typeface="+mn-lt"/>
            </a:rPr>
            <a:t>$75,595.90 per year in 2018</a:t>
          </a:r>
          <a:endParaRPr/>
        </a:p>
        <a:p>
          <a:pPr algn="ctr">
            <a:buNone/>
          </a:pPr>
          <a:r>
            <a:rPr sz="2400" b="1" i="1">
              <a:solidFill>
                <a:schemeClr val="accent1">
                  <a:lumMod val="50000"/>
                </a:schemeClr>
              </a:solidFill>
              <a:latin typeface="+mn-lt"/>
              <a:ea typeface="+mn-lt"/>
              <a:cs typeface="+mn-lt"/>
            </a:rPr>
            <a:t>This plan will step-up your income to </a:t>
          </a:r>
          <a:r>
            <a:rPr sz="2400" b="1" i="1" u="sng">
              <a:solidFill>
                <a:schemeClr val="accent1">
                  <a:lumMod val="50000"/>
                </a:schemeClr>
              </a:solidFill>
              <a:latin typeface="+mn-lt"/>
              <a:ea typeface="+mn-lt"/>
              <a:cs typeface="+mn-lt"/>
            </a:rPr>
            <a:t>$80,998.35 per year in 2019</a:t>
          </a:r>
          <a:endParaRPr/>
        </a:p>
        <a:p>
          <a:pPr algn="ctr">
            <a:buNone/>
          </a:pPr>
          <a:r>
            <a:rPr sz="2400" b="1" i="1">
              <a:solidFill>
                <a:schemeClr val="accent1">
                  <a:lumMod val="50000"/>
                </a:schemeClr>
              </a:solidFill>
              <a:latin typeface="+mn-lt"/>
              <a:ea typeface="+mn-lt"/>
              <a:cs typeface="+mn-lt"/>
            </a:rPr>
            <a:t>This plan will step-up your income to </a:t>
          </a:r>
          <a:r>
            <a:rPr sz="2400" b="1" i="1" u="sng">
              <a:solidFill>
                <a:schemeClr val="accent1">
                  <a:lumMod val="50000"/>
                </a:schemeClr>
              </a:solidFill>
              <a:latin typeface="+mn-lt"/>
              <a:ea typeface="+mn-lt"/>
              <a:cs typeface="+mn-lt"/>
            </a:rPr>
            <a:t>$87,213.07 per year in 2021</a:t>
          </a:r>
          <a:endParaRPr/>
        </a:p>
        <a:p>
          <a:r>
            <a:rPr sz="2400" b="1" i="1">
              <a:solidFill>
                <a:schemeClr val="tx1"/>
              </a:solidFill>
              <a:latin typeface="+mn-lt"/>
              <a:ea typeface="+mn-lt"/>
              <a:cs typeface="+mn-lt"/>
            </a:rPr>
            <a:t>  </a:t>
          </a:r>
          <a:endParaRPr/>
        </a:p>
        <a:p>
          <a:r>
            <a:rPr sz="2400" b="1" i="1">
              <a:solidFill>
                <a:schemeClr val="tx1"/>
              </a:solidFill>
              <a:latin typeface="+mn-lt"/>
              <a:ea typeface="+mn-lt"/>
              <a:cs typeface="+mn-lt"/>
            </a:rPr>
            <a:t>Funding Money Transfers do not create a Taxable Event:  </a:t>
          </a:r>
          <a:r>
            <a:rPr sz="2400" b="0">
              <a:solidFill>
                <a:schemeClr val="tx1"/>
              </a:solidFill>
              <a:latin typeface="+mn-lt"/>
              <a:ea typeface="+mn-lt"/>
              <a:cs typeface="+mn-lt"/>
            </a:rPr>
            <a:t>Because you would be rolling over funds--moving money from an existing IRA or 401K to a new IRA--</a:t>
          </a:r>
          <a:r>
            <a:rPr sz="2400">
              <a:solidFill>
                <a:schemeClr val="tx1"/>
              </a:solidFill>
              <a:latin typeface="+mn-lt"/>
              <a:ea typeface="+mn-lt"/>
              <a:cs typeface="+mn-lt"/>
            </a:rPr>
            <a:t>no taxable event is created.  Cathy can achieve this, and not create a taxable event, by means of an "In Service Distribution."</a:t>
          </a:r>
          <a:endParaRPr/>
        </a:p>
        <a:p>
          <a:r>
            <a:rPr sz="2400" b="1" i="1">
              <a:solidFill>
                <a:schemeClr val="tx1"/>
              </a:solidFill>
              <a:latin typeface="+mn-lt"/>
              <a:ea typeface="+mn-lt"/>
              <a:cs typeface="+mn-lt"/>
            </a:rPr>
            <a:t>  </a:t>
          </a:r>
          <a:endParaRPr/>
        </a:p>
        <a:p>
          <a:pPr algn="ctr">
            <a:buNone/>
          </a:pPr>
          <a:r>
            <a:rPr sz="2400" b="1" i="1">
              <a:solidFill>
                <a:schemeClr val="accent1">
                  <a:lumMod val="50000"/>
                </a:schemeClr>
              </a:solidFill>
              <a:latin typeface="+mn-lt"/>
              <a:ea typeface="+mn-lt"/>
              <a:cs typeface="+mn-lt"/>
            </a:rPr>
            <a:t>Income Bonus: </a:t>
          </a:r>
          <a:r>
            <a:rPr sz="2400" b="0" i="0">
              <a:solidFill>
                <a:schemeClr val="accent1">
                  <a:lumMod val="50000"/>
                </a:schemeClr>
              </a:solidFill>
              <a:latin typeface="+mn-lt"/>
              <a:ea typeface="+mn-lt"/>
              <a:cs typeface="+mn-lt"/>
            </a:rPr>
            <a:t>This plan also adds income bonuses to your account balances that </a:t>
          </a:r>
          <a:r>
            <a:rPr sz="2400" b="1" i="0" u="sng">
              <a:solidFill>
                <a:schemeClr val="accent1">
                  <a:lumMod val="50000"/>
                </a:schemeClr>
              </a:solidFill>
              <a:latin typeface="+mn-lt"/>
              <a:ea typeface="+mn-lt"/>
              <a:cs typeface="+mn-lt"/>
            </a:rPr>
            <a:t>total to $48,000. </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t>
          </a:r>
          <a:r>
            <a:rPr sz="2400">
              <a:solidFill>
                <a:schemeClr val="accent1">
                  <a:lumMod val="50000"/>
                </a:schemeClr>
              </a:solidFill>
              <a:latin typeface="+mn-lt"/>
              <a:ea typeface="+mn-lt"/>
              <a:cs typeface="+mn-lt"/>
            </a:rPr>
            <a:t>This plan lowers money management and turnover expenes from </a:t>
          </a:r>
          <a:r>
            <a:rPr sz="2400" b="1" u="sng">
              <a:solidFill>
                <a:schemeClr val="accent1">
                  <a:lumMod val="50000"/>
                </a:schemeClr>
              </a:solidFill>
              <a:latin typeface="+mn-lt"/>
              <a:ea typeface="+mn-lt"/>
              <a:cs typeface="+mn-lt"/>
            </a:rPr>
            <a:t>$41,420 per year to just $5,400 per year.</a:t>
          </a:r>
          <a:r>
            <a:rPr sz="2400" b="1" u="none">
              <a:solidFill>
                <a:schemeClr val="accent1">
                  <a:lumMod val="50000"/>
                </a:schemeClr>
              </a:solidFill>
              <a:latin typeface="+mn-lt"/>
              <a:ea typeface="+mn-lt"/>
              <a:cs typeface="+mn-lt"/>
            </a:rPr>
            <a:t> </a:t>
          </a:r>
          <a:r>
            <a:rPr sz="2400">
              <a:solidFill>
                <a:schemeClr val="tx1"/>
              </a:solidFill>
              <a:latin typeface="+mn-lt"/>
              <a:ea typeface="+mn-lt"/>
              <a:cs typeface="+mn-lt"/>
            </a:rPr>
            <a:t>In addition the plan provides an income account that grows at minumum guaranteed rate of 6% and gives you the market if it is higher.</a:t>
          </a:r>
          <a:endParaRPr/>
        </a:p>
        <a:p>
          <a:endParaRPr/>
        </a:p>
      </xdr:txBody>
    </xdr:sp>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A00-000002000000}"/>
            </a:ext>
          </a:extLst>
        </xdr:cNvPr>
        <xdr:cNvSpPr>
          <a:spLocks noGrp="1"/>
        </xdr:cNvSpPr>
      </xdr:nvSpPr>
      <xdr:spPr>
        <a:xfrm>
          <a:off x="0" y="10083312"/>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15.jpeg">
          <a:extLst>
            <a:ext uri="{FF2B5EF4-FFF2-40B4-BE49-F238E27FC236}">
              <a16:creationId xmlns:a16="http://schemas.microsoft.com/office/drawing/2014/main" id="{00000000-0008-0000-5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B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361949</xdr:colOff>
      <xdr:row>6</xdr:row>
      <xdr:rowOff>159544</xdr:rowOff>
    </xdr:to>
    <xdr:pic>
      <xdr:nvPicPr>
        <xdr:cNvPr id="3" name="/xl/media/image14.png">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2</xdr:row>
      <xdr:rowOff>295275</xdr:rowOff>
    </xdr:from>
    <xdr:to>
      <xdr:col>8</xdr:col>
      <xdr:colOff>22412</xdr:colOff>
      <xdr:row>36</xdr:row>
      <xdr:rowOff>123825</xdr:rowOff>
    </xdr:to>
    <xdr:graphicFrame macro="">
      <xdr:nvGraphicFramePr>
        <xdr:cNvPr id="2" name="Chart">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35</xdr:row>
      <xdr:rowOff>112059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5C00-000003000000}"/>
            </a:ext>
          </a:extLst>
        </xdr:cNvPr>
        <xdr:cNvSpPr>
          <a:spLocks noGrp="1"/>
        </xdr:cNvSpPr>
      </xdr:nvSpPr>
      <xdr:spPr>
        <a:xfrm>
          <a:off x="0" y="7998759"/>
          <a:ext cx="11582400" cy="146909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D00-000002000000}"/>
            </a:ext>
          </a:extLst>
        </xdr:cNvPr>
        <xdr:cNvSpPr>
          <a:spLocks noGrp="1"/>
        </xdr:cNvSpPr>
      </xdr:nvSpPr>
      <xdr:spPr>
        <a:xfrm>
          <a:off x="47624" y="8629649"/>
          <a:ext cx="1142892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390525</xdr:colOff>
      <xdr:row>6</xdr:row>
      <xdr:rowOff>102394</xdr:rowOff>
    </xdr:to>
    <xdr:pic>
      <xdr:nvPicPr>
        <xdr:cNvPr id="3" name="/xl/media/image14.png">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E00-000002000000}"/>
            </a:ext>
          </a:extLst>
        </xdr:cNvPr>
        <xdr:cNvSpPr>
          <a:spLocks noGrp="1"/>
        </xdr:cNvSpPr>
      </xdr:nvSpPr>
      <xdr:spPr>
        <a:xfrm>
          <a:off x="47624" y="8629649"/>
          <a:ext cx="1142892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342899</xdr:colOff>
      <xdr:row>6</xdr:row>
      <xdr:rowOff>102394</xdr:rowOff>
    </xdr:to>
    <xdr:pic>
      <xdr:nvPicPr>
        <xdr:cNvPr id="3" name="/xl/media/image14.png">
          <a:extLst>
            <a:ext uri="{FF2B5EF4-FFF2-40B4-BE49-F238E27FC236}">
              <a16:creationId xmlns:a16="http://schemas.microsoft.com/office/drawing/2014/main" id="{00000000-0008-0000-5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oneCellAnchor>
    <xdr:from>
      <xdr:col>0</xdr:col>
      <xdr:colOff>323850</xdr:colOff>
      <xdr:row>0</xdr:row>
      <xdr:rowOff>95249</xdr:rowOff>
    </xdr:from>
    <xdr:ext cx="8953500" cy="3467101"/>
    <xdr:sp macro="" textlink="">
      <xdr:nvSpPr>
        <xdr:cNvPr id="2" name="TextBox 1">
          <a:extLst>
            <a:ext uri="{FF2B5EF4-FFF2-40B4-BE49-F238E27FC236}">
              <a16:creationId xmlns:a16="http://schemas.microsoft.com/office/drawing/2014/main" id="{00000000-0008-0000-5F00-000002000000}"/>
            </a:ext>
          </a:extLst>
        </xdr:cNvPr>
        <xdr:cNvSpPr>
          <a:spLocks noGrp="1"/>
        </xdr:cNvSpPr>
      </xdr:nvSpPr>
      <xdr:spPr>
        <a:xfrm>
          <a:off x="323850" y="95249"/>
          <a:ext cx="8953500" cy="3467101"/>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390525</xdr:colOff>
      <xdr:row>0</xdr:row>
      <xdr:rowOff>47625</xdr:rowOff>
    </xdr:from>
    <xdr:ext cx="11877675" cy="8343900"/>
    <xdr:sp macro="" textlink="">
      <xdr:nvSpPr>
        <xdr:cNvPr id="3" name="TextBox 2">
          <a:extLst>
            <a:ext uri="{FF2B5EF4-FFF2-40B4-BE49-F238E27FC236}">
              <a16:creationId xmlns:a16="http://schemas.microsoft.com/office/drawing/2014/main" id="{00000000-0008-0000-5F00-000003000000}"/>
            </a:ext>
          </a:extLst>
        </xdr:cNvPr>
        <xdr:cNvSpPr>
          <a:spLocks noGrp="1"/>
        </xdr:cNvSpPr>
      </xdr:nvSpPr>
      <xdr:spPr>
        <a:xfrm>
          <a:off x="390525" y="47625"/>
          <a:ext cx="11877675" cy="83439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Income Timeline  </a:t>
          </a:r>
          <a:endParaRPr/>
        </a:p>
        <a:p>
          <a:pPr algn="ctr">
            <a:buNone/>
          </a:pPr>
          <a:r>
            <a:rPr sz="4000"/>
            <a:t>Absence of a Spend down Protection plan</a:t>
          </a:r>
          <a:endParaRPr/>
        </a:p>
        <a:p>
          <a:pPr algn="ctr">
            <a:buNone/>
          </a:pPr>
          <a:endParaRPr/>
        </a:p>
      </xdr:txBody>
    </xdr:sp>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6000-000002000000}"/>
            </a:ext>
          </a:extLst>
        </xdr:cNvPr>
        <xdr:cNvSpPr>
          <a:spLocks noGrp="1"/>
        </xdr:cNvSpPr>
      </xdr:nvSpPr>
      <xdr:spPr>
        <a:xfrm>
          <a:off x="47624" y="8629649"/>
          <a:ext cx="111907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14.png">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35858</xdr:colOff>
      <xdr:row>31</xdr:row>
      <xdr:rowOff>105334</xdr:rowOff>
    </xdr:from>
    <xdr:to>
      <xdr:col>14</xdr:col>
      <xdr:colOff>242047</xdr:colOff>
      <xdr:row>38</xdr:row>
      <xdr:rowOff>0</xdr:rowOff>
    </xdr:to>
    <xdr:sp macro="" textlink="">
      <xdr:nvSpPr>
        <xdr:cNvPr id="2" name="TextBox 1">
          <a:extLst>
            <a:ext uri="{FF2B5EF4-FFF2-40B4-BE49-F238E27FC236}">
              <a16:creationId xmlns:a16="http://schemas.microsoft.com/office/drawing/2014/main" id="{00000000-0008-0000-0B00-000002000000}"/>
            </a:ext>
          </a:extLst>
        </xdr:cNvPr>
        <xdr:cNvSpPr>
          <a:spLocks noGrp="1"/>
        </xdr:cNvSpPr>
      </xdr:nvSpPr>
      <xdr:spPr>
        <a:xfrm>
          <a:off x="35858" y="8397687"/>
          <a:ext cx="14980024" cy="1472454"/>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oneCellAnchor>
    <xdr:from>
      <xdr:col>0</xdr:col>
      <xdr:colOff>8965</xdr:colOff>
      <xdr:row>10</xdr:row>
      <xdr:rowOff>170330</xdr:rowOff>
    </xdr:from>
    <xdr:ext cx="16671458" cy="3863788"/>
    <xdr:sp macro="" textlink="">
      <xdr:nvSpPr>
        <xdr:cNvPr id="3" name="TextBox 3">
          <a:extLst>
            <a:ext uri="{FF2B5EF4-FFF2-40B4-BE49-F238E27FC236}">
              <a16:creationId xmlns:a16="http://schemas.microsoft.com/office/drawing/2014/main" id="{00000000-0008-0000-0B00-000003000000}"/>
            </a:ext>
          </a:extLst>
        </xdr:cNvPr>
        <xdr:cNvSpPr>
          <a:spLocks noGrp="1"/>
        </xdr:cNvSpPr>
      </xdr:nvSpPr>
      <xdr:spPr>
        <a:xfrm>
          <a:off x="8965" y="3008179"/>
          <a:ext cx="16671458" cy="3863788"/>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0</xdr:row>
      <xdr:rowOff>0</xdr:rowOff>
    </xdr:from>
    <xdr:to>
      <xdr:col>17</xdr:col>
      <xdr:colOff>467600</xdr:colOff>
      <xdr:row>31</xdr:row>
      <xdr:rowOff>153178</xdr:rowOff>
    </xdr:to>
    <xdr:sp macro="" textlink="">
      <xdr:nvSpPr>
        <xdr:cNvPr id="4" name="TextBox 4">
          <a:extLst>
            <a:ext uri="{FF2B5EF4-FFF2-40B4-BE49-F238E27FC236}">
              <a16:creationId xmlns:a16="http://schemas.microsoft.com/office/drawing/2014/main" id="{00000000-0008-0000-0B00-000004000000}"/>
            </a:ext>
          </a:extLst>
        </xdr:cNvPr>
        <xdr:cNvSpPr>
          <a:spLocks noGrp="1"/>
        </xdr:cNvSpPr>
      </xdr:nvSpPr>
      <xdr:spPr>
        <a:xfrm>
          <a:off x="0" y="0"/>
          <a:ext cx="17067403" cy="844098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xdr:txBody>
    </xdr:sp>
    <xdr:clientData/>
  </xdr:twoCellAnchor>
  <xdr:twoCellAnchor editAs="oneCell">
    <xdr:from>
      <xdr:col>0</xdr:col>
      <xdr:colOff>0</xdr:colOff>
      <xdr:row>78</xdr:row>
      <xdr:rowOff>0</xdr:rowOff>
    </xdr:from>
    <xdr:to>
      <xdr:col>5</xdr:col>
      <xdr:colOff>176306</xdr:colOff>
      <xdr:row>107</xdr:row>
      <xdr:rowOff>140447</xdr:rowOff>
    </xdr:to>
    <xdr:pic>
      <xdr:nvPicPr>
        <xdr:cNvPr id="5" name="/xl/media/image8.jpg">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2</xdr:col>
      <xdr:colOff>0</xdr:colOff>
      <xdr:row>0</xdr:row>
      <xdr:rowOff>306357</xdr:rowOff>
    </xdr:from>
    <xdr:to>
      <xdr:col>11</xdr:col>
      <xdr:colOff>1254871</xdr:colOff>
      <xdr:row>17</xdr:row>
      <xdr:rowOff>120930</xdr:rowOff>
    </xdr:to>
    <xdr:pic>
      <xdr:nvPicPr>
        <xdr:cNvPr id="6" name="/xl/media/image9.png">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46</xdr:row>
      <xdr:rowOff>11906</xdr:rowOff>
    </xdr:to>
    <xdr:sp macro="" textlink="">
      <xdr:nvSpPr>
        <xdr:cNvPr id="2" name="Text Box 3">
          <a:extLst>
            <a:ext uri="{FF2B5EF4-FFF2-40B4-BE49-F238E27FC236}">
              <a16:creationId xmlns:a16="http://schemas.microsoft.com/office/drawing/2014/main" id="{00000000-0008-0000-6100-000002000000}"/>
            </a:ext>
          </a:extLst>
        </xdr:cNvPr>
        <xdr:cNvSpPr>
          <a:spLocks noGrp="1"/>
        </xdr:cNvSpPr>
      </xdr:nvSpPr>
      <xdr:spPr>
        <a:xfrm>
          <a:off x="47624" y="8610959"/>
          <a:ext cx="11190797" cy="1297422"/>
        </a:xfrm>
        <a:prstGeom prst="rect">
          <a:avLst/>
        </a:prstGeom>
        <a:solidFill>
          <a:srgbClr val="FFFFFF"/>
        </a:solidFill>
        <a:ln>
          <a:noFill/>
        </a:ln>
      </xdr:spPr>
      <xdr:txBody>
        <a:bodyPr wrap="square" lIns="27432" tIns="22860" rIns="27432" bIns="0" anchor="ctr"/>
        <a:lstStyle/>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14.png">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46</xdr:row>
      <xdr:rowOff>11906</xdr:rowOff>
    </xdr:to>
    <xdr:sp macro="" textlink="">
      <xdr:nvSpPr>
        <xdr:cNvPr id="2" name="Text Box 3">
          <a:extLst>
            <a:ext uri="{FF2B5EF4-FFF2-40B4-BE49-F238E27FC236}">
              <a16:creationId xmlns:a16="http://schemas.microsoft.com/office/drawing/2014/main" id="{00000000-0008-0000-6200-000002000000}"/>
            </a:ext>
          </a:extLst>
        </xdr:cNvPr>
        <xdr:cNvSpPr>
          <a:spLocks noGrp="1"/>
        </xdr:cNvSpPr>
      </xdr:nvSpPr>
      <xdr:spPr>
        <a:xfrm>
          <a:off x="47624" y="8610959"/>
          <a:ext cx="11190797" cy="1297422"/>
        </a:xfrm>
        <a:prstGeom prst="rect">
          <a:avLst/>
        </a:prstGeom>
        <a:solidFill>
          <a:srgbClr val="FFFFFF"/>
        </a:solidFill>
        <a:ln>
          <a:noFill/>
        </a:ln>
      </xdr:spPr>
      <xdr:txBody>
        <a:bodyPr wrap="square" lIns="27432" tIns="22860" rIns="27432" bIns="0" anchor="ctr"/>
        <a:lstStyle/>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14.png">
          <a:extLst>
            <a:ext uri="{FF2B5EF4-FFF2-40B4-BE49-F238E27FC236}">
              <a16:creationId xmlns:a16="http://schemas.microsoft.com/office/drawing/2014/main" id="{00000000-0008-0000-6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142875</xdr:colOff>
      <xdr:row>0</xdr:row>
      <xdr:rowOff>1</xdr:rowOff>
    </xdr:from>
    <xdr:to>
      <xdr:col>16</xdr:col>
      <xdr:colOff>6350</xdr:colOff>
      <xdr:row>93</xdr:row>
      <xdr:rowOff>114301</xdr:rowOff>
    </xdr:to>
    <xdr:sp macro="" textlink="">
      <xdr:nvSpPr>
        <xdr:cNvPr id="2" name="TextBox 1">
          <a:extLst>
            <a:ext uri="{FF2B5EF4-FFF2-40B4-BE49-F238E27FC236}">
              <a16:creationId xmlns:a16="http://schemas.microsoft.com/office/drawing/2014/main" id="{00000000-0008-0000-6300-000002000000}"/>
            </a:ext>
          </a:extLst>
        </xdr:cNvPr>
        <xdr:cNvSpPr>
          <a:spLocks noGrp="1"/>
        </xdr:cNvSpPr>
      </xdr:nvSpPr>
      <xdr:spPr>
        <a:xfrm>
          <a:off x="752475" y="1"/>
          <a:ext cx="9007475" cy="1586865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ctr"/>
        <a:lstStyle/>
        <a:p>
          <a:pPr algn="ctr">
            <a:buNone/>
          </a:pPr>
          <a:endParaRPr/>
        </a:p>
        <a:p>
          <a:pPr algn="ctr">
            <a:buNone/>
          </a:pPr>
          <a:r>
            <a:rPr sz="2800" b="0">
              <a:solidFill>
                <a:schemeClr val="dk1"/>
              </a:solidFill>
              <a:latin typeface="+mn-lt"/>
              <a:ea typeface="+mn-lt"/>
              <a:cs typeface="+mn-lt"/>
            </a:rPr>
            <a:t>Is Planning Suitable for You?  Issues Retirees face </a:t>
          </a:r>
          <a:endParaRPr/>
        </a:p>
        <a:p>
          <a:pPr marL="0" indent="0" algn="l">
            <a:lnSpc>
              <a:spcPct val="100000"/>
            </a:lnSpc>
            <a:buNone/>
          </a:pPr>
          <a:endParaRPr/>
        </a:p>
        <a:p>
          <a:pPr marL="0" indent="0" algn="l">
            <a:lnSpc>
              <a:spcPct val="100000"/>
            </a:lnSpc>
            <a:buNone/>
          </a:pPr>
          <a:r>
            <a:rPr sz="1400" b="1" i="1">
              <a:solidFill>
                <a:sysClr val="windowText" lastClr="000000"/>
              </a:solidFill>
            </a:rPr>
            <a:t>1. AARP Income Risk Research: </a:t>
          </a:r>
          <a:r>
            <a:rPr sz="1400" b="1">
              <a:solidFill>
                <a:sysClr val="windowText" lastClr="000000"/>
              </a:solidFill>
            </a:rPr>
            <a:t>Alicia Munnell Ph.D, director of the Boston College Center for Retirement Research says that you must ask yourself how much income you will need to be comfortable in retirement. </a:t>
          </a:r>
          <a:r>
            <a:rPr sz="1400" b="0">
              <a:solidFill>
                <a:schemeClr val="accent1">
                  <a:lumMod val="50000"/>
                </a:schemeClr>
              </a:solidFill>
            </a:rPr>
            <a:t>According to Boston College research this is a difficult question to answer because all retirees face these two major issues Inflation and Taxes. The research says that your retirement income should be 70 to 80 percent of your preretirement gross income. In addition to this amount and as a hedge against increasing inflation and taxes, the research suggests that you secure additional income sources of income to adjust for these two unknowns.</a:t>
          </a:r>
          <a:endParaRPr/>
        </a:p>
        <a:p>
          <a:pPr marL="0" indent="0" algn="l">
            <a:lnSpc>
              <a:spcPct val="100000"/>
            </a:lnSpc>
            <a:buNone/>
          </a:pPr>
          <a:endParaRPr/>
        </a:p>
        <a:p>
          <a:pPr marL="0" indent="0" algn="l">
            <a:lnSpc>
              <a:spcPct val="100000"/>
            </a:lnSpc>
            <a:buNone/>
          </a:pPr>
          <a:r>
            <a:rPr sz="1400" b="1"/>
            <a:t>a. What is your vision of Retirement? </a:t>
          </a:r>
          <a:r>
            <a:rPr sz="1400" b="0"/>
            <a:t>Everyone has a vision of Retirement: Where they want to live. Do they want to travel? What kinds of cars they like to drive. Each are important contributors to the quality of your retirement lifestyle. </a:t>
          </a:r>
          <a:endParaRPr/>
        </a:p>
        <a:p>
          <a:pPr marL="0" indent="0" algn="l">
            <a:lnSpc>
              <a:spcPct val="100000"/>
            </a:lnSpc>
            <a:buNone/>
          </a:pPr>
          <a:r>
            <a:rPr sz="1400" b="1"/>
            <a:t>b.</a:t>
          </a:r>
          <a:r>
            <a:rPr sz="1400" b="0"/>
            <a:t> Social Security and Pensions alone may not produce enough income to fully address your Cost of living needs. Your Cost of living will increase due to increasing inflation and taxes over time which could threaten your vision of retirement.</a:t>
          </a:r>
          <a:endParaRPr/>
        </a:p>
        <a:p>
          <a:pPr marL="0" indent="0" algn="l">
            <a:lnSpc>
              <a:spcPct val="100000"/>
            </a:lnSpc>
            <a:buNone/>
          </a:pPr>
          <a:r>
            <a:rPr sz="1400" b="1"/>
            <a:t>c.</a:t>
          </a:r>
          <a:r>
            <a:rPr sz="1400" b="0"/>
            <a:t> B</a:t>
          </a:r>
          <a:r>
            <a:rPr sz="1400" b="0">
              <a:solidFill>
                <a:schemeClr val="dk1"/>
              </a:solidFill>
              <a:latin typeface="+mn-lt"/>
              <a:ea typeface="+mn-lt"/>
              <a:cs typeface="+mn-lt"/>
            </a:rPr>
            <a:t>oth you and/or your Surviving Spouse will need more income in order to maintain his or her standards of living or possibly suffer financial hardship in the event of one passing before the other.</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joint income as well as survivor income to meet and protect your lifestyle/income needs</a:t>
          </a:r>
          <a:endParaRPr/>
        </a:p>
        <a:p>
          <a:pPr algn="l">
            <a:buNone/>
          </a:pPr>
          <a:endParaRPr/>
        </a:p>
        <a:p>
          <a:pPr algn="ctr">
            <a:buNone/>
          </a:pPr>
          <a:r>
            <a:rPr sz="1600" b="1"/>
            <a:t>On a scale of 1 to 10, How Important is it to build a Plan to solve these issues today;</a:t>
          </a:r>
          <a:endParaRPr/>
        </a:p>
        <a:p>
          <a:pPr algn="ctr">
            <a:buNone/>
          </a:pPr>
          <a:r>
            <a:rPr sz="1600" b="1"/>
            <a:t>so that they do not have an adverse effect on your retirement?</a:t>
          </a:r>
          <a:endParaRPr/>
        </a:p>
        <a:p>
          <a:pPr>
            <a:buNone/>
          </a:pPr>
          <a:endParaRPr/>
        </a:p>
        <a:p>
          <a:pPr>
            <a:buNone/>
          </a:pPr>
          <a:r>
            <a:rPr sz="1600" b="1" i="1">
              <a:solidFill>
                <a:schemeClr val="dk1"/>
              </a:solidFill>
              <a:latin typeface="+mn-lt"/>
              <a:ea typeface="+mn-lt"/>
              <a:cs typeface="+mn-lt"/>
            </a:rPr>
            <a:t>2</a:t>
          </a:r>
          <a:r>
            <a:rPr sz="1400" b="1" i="1">
              <a:solidFill>
                <a:schemeClr val="dk1"/>
              </a:solidFill>
              <a:latin typeface="+mn-lt"/>
              <a:ea typeface="+mn-lt"/>
              <a:cs typeface="+mn-lt"/>
            </a:rPr>
            <a:t>. AARP Market Risk Research: </a:t>
          </a:r>
          <a:r>
            <a:rPr sz="1400" b="1">
              <a:solidFill>
                <a:schemeClr val="dk1"/>
              </a:solidFill>
              <a:latin typeface="+mn-lt"/>
              <a:ea typeface="+mn-lt"/>
              <a:cs typeface="+mn-lt"/>
            </a:rPr>
            <a:t>Loss of savings to Generate Income  - </a:t>
          </a:r>
          <a:r>
            <a:rPr sz="1400">
              <a:solidFill>
                <a:schemeClr val="dk1"/>
              </a:solidFill>
              <a:latin typeface="+mn-lt"/>
              <a:ea typeface="+mn-lt"/>
              <a:cs typeface="+mn-lt"/>
            </a:rPr>
            <a:t>No one can predict the direction that the market will take. In falling markets, income withdraws transition from being Accumulation Phase Paper Losses into Distribution Phase Real Losses. Retirees can not afford to lose assets in retirement, </a:t>
          </a:r>
          <a:r>
            <a:rPr sz="1400" b="0">
              <a:solidFill>
                <a:schemeClr val="dk1"/>
              </a:solidFill>
              <a:latin typeface="+mn-lt"/>
              <a:ea typeface="+mn-lt"/>
              <a:cs typeface="+mn-lt"/>
            </a:rPr>
            <a:t>assets must be protected in order to generate lifelong income.   </a:t>
          </a:r>
          <a:endParaRPr/>
        </a:p>
        <a:p>
          <a:pPr>
            <a:buNone/>
          </a:pPr>
          <a:endParaRPr/>
        </a:p>
        <a:p>
          <a:pPr>
            <a:buNone/>
          </a:pPr>
          <a:r>
            <a:rPr sz="1400" b="1">
              <a:solidFill>
                <a:schemeClr val="dk1"/>
              </a:solidFill>
              <a:latin typeface="+mn-lt"/>
              <a:ea typeface="+mn-lt"/>
              <a:cs typeface="+mn-lt"/>
            </a:rPr>
            <a:t>a</a:t>
          </a:r>
          <a:r>
            <a:rPr sz="1400" b="0">
              <a:solidFill>
                <a:schemeClr val="dk1"/>
              </a:solidFill>
              <a:latin typeface="+mn-lt"/>
              <a:ea typeface="+mn-lt"/>
              <a:cs typeface="+mn-lt"/>
            </a:rPr>
            <a:t>. If Your Social Security and Pension income is not enough to cover your long term income needs, than you are market dependent for your future income. AARP research says that retirees should follow Rule 120 to minimize risk. </a:t>
          </a:r>
          <a:endParaRPr/>
        </a:p>
        <a:p>
          <a:pPr>
            <a:buNone/>
          </a:pPr>
          <a:r>
            <a:rPr sz="1400" b="1">
              <a:solidFill>
                <a:schemeClr val="dk1"/>
              </a:solidFill>
              <a:latin typeface="+mn-lt"/>
              <a:ea typeface="+mn-lt"/>
              <a:cs typeface="+mn-lt"/>
            </a:rPr>
            <a:t>b.</a:t>
          </a:r>
          <a:r>
            <a:rPr sz="1400" b="0">
              <a:solidFill>
                <a:schemeClr val="dk1"/>
              </a:solidFill>
              <a:latin typeface="+mn-lt"/>
              <a:ea typeface="+mn-lt"/>
              <a:cs typeface="+mn-lt"/>
            </a:rPr>
            <a:t> </a:t>
          </a:r>
          <a:r>
            <a:rPr sz="1400" b="1">
              <a:solidFill>
                <a:schemeClr val="dk1"/>
              </a:solidFill>
              <a:latin typeface="+mn-lt"/>
              <a:ea typeface="+mn-lt"/>
              <a:cs typeface="+mn-lt"/>
            </a:rPr>
            <a:t>Rule 120:</a:t>
          </a:r>
          <a:r>
            <a:rPr sz="1400" b="0">
              <a:solidFill>
                <a:schemeClr val="dk1"/>
              </a:solidFill>
              <a:latin typeface="+mn-lt"/>
              <a:ea typeface="+mn-lt"/>
              <a:cs typeface="+mn-lt"/>
            </a:rPr>
            <a:t> is subtracting your age from 120 to determine for how much you should hold in market investments. </a:t>
          </a:r>
          <a:endParaRPr/>
        </a:p>
        <a:p>
          <a:pPr>
            <a:buNone/>
          </a:pPr>
          <a:r>
            <a:rPr sz="1100" b="1" i="1">
              <a:solidFill>
                <a:schemeClr val="dk1"/>
              </a:solidFill>
              <a:latin typeface="+mn-lt"/>
              <a:ea typeface="+mn-lt"/>
              <a:cs typeface="+mn-lt"/>
            </a:rPr>
            <a:t>	           </a:t>
          </a:r>
          <a:endParaRPr/>
        </a:p>
        <a:p>
          <a:pPr>
            <a:buNone/>
          </a:pPr>
          <a:r>
            <a:rPr sz="1400" b="1" i="1">
              <a:solidFill>
                <a:schemeClr val="dk1"/>
              </a:solidFill>
              <a:latin typeface="+mn-lt"/>
              <a:ea typeface="+mn-lt"/>
              <a:cs typeface="+mn-lt"/>
            </a:rPr>
            <a:t>                   Based on your current age your market invested assets should be </a:t>
          </a:r>
          <a:r>
            <a:rPr sz="1400" b="1" i="1" u="sng">
              <a:solidFill>
                <a:schemeClr val="dk1"/>
              </a:solidFill>
              <a:latin typeface="+mn-lt"/>
              <a:ea typeface="+mn-lt"/>
              <a:cs typeface="+mn-lt"/>
            </a:rPr>
            <a:t>less than but not more than </a:t>
          </a:r>
          <a:r>
            <a:rPr sz="1400" b="1" i="1">
              <a:solidFill>
                <a:schemeClr val="dk1"/>
              </a:solidFill>
              <a:latin typeface="+mn-lt"/>
              <a:ea typeface="+mn-lt"/>
              <a:cs typeface="+mn-lt"/>
            </a:rPr>
            <a:t>this percent </a:t>
          </a:r>
          <a:endParaRPr/>
        </a:p>
        <a:p>
          <a:pPr>
            <a:buNone/>
          </a:pPr>
          <a:endParaRPr/>
        </a:p>
        <a:p>
          <a:pPr>
            <a:buNone/>
          </a:pPr>
          <a:r>
            <a:rPr sz="1400" b="1">
              <a:solidFill>
                <a:schemeClr val="dk1"/>
              </a:solidFill>
              <a:latin typeface="+mn-lt"/>
              <a:ea typeface="+mn-lt"/>
              <a:cs typeface="+mn-lt"/>
            </a:rPr>
            <a:t>c. Problems if Pre-Retired: </a:t>
          </a:r>
          <a:r>
            <a:rPr sz="1400" b="0">
              <a:solidFill>
                <a:schemeClr val="dk1"/>
              </a:solidFill>
              <a:latin typeface="+mn-lt"/>
              <a:ea typeface="+mn-lt"/>
              <a:cs typeface="+mn-lt"/>
            </a:rPr>
            <a:t>If you lose retirement savings between today and retirement day you may not be able to retire on the day you want to. If working, you could protect savings by moving it to safety via "In Service Distribution"</a:t>
          </a:r>
          <a:endParaRPr/>
        </a:p>
        <a:p>
          <a:pPr>
            <a:buNone/>
          </a:pPr>
          <a:r>
            <a:rPr sz="1400" b="1">
              <a:solidFill>
                <a:schemeClr val="dk1"/>
              </a:solidFill>
              <a:latin typeface="+mn-lt"/>
              <a:ea typeface="+mn-lt"/>
              <a:cs typeface="+mn-lt"/>
            </a:rPr>
            <a:t>d. Problems if Retired: </a:t>
          </a:r>
          <a:r>
            <a:rPr sz="1400" b="0">
              <a:solidFill>
                <a:schemeClr val="dk1"/>
              </a:solidFill>
              <a:latin typeface="+mn-lt"/>
              <a:ea typeface="+mn-lt"/>
              <a:cs typeface="+mn-lt"/>
            </a:rPr>
            <a:t>If you lose your savings during retirement, you may lose your lifestyle and be forced to turn to family for financial help. You may not have enough years of life ahead to wait for the market to come back.</a:t>
          </a:r>
          <a:endParaRPr/>
        </a:p>
        <a:p>
          <a:endParaRPr/>
        </a:p>
        <a:p>
          <a:r>
            <a:rPr sz="1400" b="1" i="1">
              <a:solidFill>
                <a:schemeClr val="dk1"/>
              </a:solidFill>
              <a:latin typeface="+mn-lt"/>
              <a:ea typeface="+mn-lt"/>
              <a:cs typeface="+mn-lt"/>
            </a:rPr>
            <a:t>Planning is designed to: </a:t>
          </a:r>
          <a:r>
            <a:rPr sz="1400" b="0" i="0">
              <a:solidFill>
                <a:schemeClr val="dk1"/>
              </a:solidFill>
              <a:latin typeface="+mn-lt"/>
              <a:ea typeface="+mn-lt"/>
              <a:cs typeface="+mn-lt"/>
            </a:rPr>
            <a:t>Reduce market exposure and protect your assets from market losses and protect future income</a:t>
          </a:r>
          <a:r>
            <a:rPr sz="1400" b="0">
              <a:solidFill>
                <a:schemeClr val="dk1"/>
              </a:solidFill>
              <a:latin typeface="+mn-lt"/>
              <a:ea typeface="+mn-lt"/>
              <a:cs typeface="+mn-lt"/>
            </a:rPr>
            <a:t>.</a:t>
          </a:r>
          <a:endParaRPr/>
        </a:p>
        <a:p>
          <a:endParaRPr/>
        </a:p>
        <a:p>
          <a:pPr algn="ctr">
            <a:buNone/>
          </a:pPr>
          <a:r>
            <a:rPr sz="1600" b="1">
              <a:solidFill>
                <a:schemeClr val="dk1"/>
              </a:solidFill>
              <a:latin typeface="+mn-lt"/>
              <a:ea typeface="+mn-lt"/>
              <a:cs typeface="+mn-lt"/>
            </a:rPr>
            <a:t>On a scale of 1 to 10, How important is it to build a Plan to solve this issue today;</a:t>
          </a:r>
          <a:endParaRPr/>
        </a:p>
        <a:p>
          <a:pPr algn="ctr">
            <a:buNone/>
          </a:pPr>
          <a:r>
            <a:rPr sz="1600" b="1">
              <a:solidFill>
                <a:schemeClr val="dk1"/>
              </a:solidFill>
              <a:latin typeface="+mn-lt"/>
              <a:ea typeface="+mn-lt"/>
              <a:cs typeface="+mn-lt"/>
            </a:rPr>
            <a:t>so that it does not have an adverse effect on your retirement? </a:t>
          </a:r>
          <a:endParaRPr/>
        </a:p>
        <a:p>
          <a:pPr algn="l">
            <a:buNone/>
          </a:pPr>
          <a:endParaRPr/>
        </a:p>
        <a:p>
          <a:pPr algn="l">
            <a:buNone/>
          </a:pPr>
          <a:endParaRPr/>
        </a:p>
        <a:p>
          <a:pPr marL="0" indent="0" algn="l">
            <a:lnSpc>
              <a:spcPct val="100000"/>
            </a:lnSpc>
            <a:buNone/>
          </a:pPr>
          <a:r>
            <a:rPr sz="1400" b="1" i="1">
              <a:solidFill>
                <a:sysClr val="windowText" lastClr="000000"/>
              </a:solidFill>
            </a:rPr>
            <a:t>3. AARP Longevity Risk Research: </a:t>
          </a:r>
          <a:r>
            <a:rPr sz="1400" b="1">
              <a:solidFill>
                <a:sysClr val="windowText" lastClr="000000"/>
              </a:solidFill>
            </a:rPr>
            <a:t>According Laura Carstensen Ph.D, director of Stanford University's Center on Longevity, people today are living longer than at any other time in history</a:t>
          </a:r>
          <a:r>
            <a:rPr sz="1400" b="1">
              <a:solidFill>
                <a:schemeClr val="accent1">
                  <a:lumMod val="50000"/>
                </a:schemeClr>
              </a:solidFill>
            </a:rPr>
            <a:t>. </a:t>
          </a:r>
          <a:r>
            <a:rPr sz="1400" b="0">
              <a:solidFill>
                <a:schemeClr val="accent1">
                  <a:lumMod val="50000"/>
                </a:schemeClr>
              </a:solidFill>
            </a:rPr>
            <a:t>Since 1900 life expectancies have increased by over 25 years. Research shows that our skill sets and decision making abilities deteriorate over time, yet retirees will need to make decisions to create an income that will last as long as they do.</a:t>
          </a:r>
          <a:endParaRPr/>
        </a:p>
        <a:p>
          <a:pPr marL="0" indent="0" algn="l">
            <a:lnSpc>
              <a:spcPct val="100000"/>
            </a:lnSpc>
            <a:buNone/>
          </a:pPr>
          <a:endParaRPr/>
        </a:p>
        <a:p>
          <a:pPr marL="0" indent="0" algn="l">
            <a:lnSpc>
              <a:spcPct val="100000"/>
            </a:lnSpc>
            <a:buNone/>
          </a:pPr>
          <a:r>
            <a:rPr sz="1400" b="1">
              <a:solidFill>
                <a:sysClr val="windowText" lastClr="000000"/>
              </a:solidFill>
            </a:rPr>
            <a:t>a</a:t>
          </a:r>
          <a:r>
            <a:rPr sz="1400" b="1">
              <a:solidFill>
                <a:schemeClr val="accent1">
                  <a:lumMod val="50000"/>
                </a:schemeClr>
              </a:solidFill>
            </a:rPr>
            <a:t>. </a:t>
          </a:r>
          <a:r>
            <a:rPr sz="1400" b="0">
              <a:solidFill>
                <a:sysClr val="windowText" lastClr="000000"/>
              </a:solidFill>
            </a:rPr>
            <a:t>If S</a:t>
          </a:r>
          <a:r>
            <a:rPr sz="1400" b="0"/>
            <a:t>ocial Security and Pension Income are your only life guaranteed income source, you will automatically be Market Dependent for Income. Pulling income from investments in down markets will always result in losses.</a:t>
          </a:r>
          <a:endParaRPr/>
        </a:p>
        <a:p>
          <a:pPr marL="0" indent="0" algn="l">
            <a:lnSpc>
              <a:spcPct val="100000"/>
            </a:lnSpc>
            <a:buNone/>
          </a:pPr>
          <a:r>
            <a:rPr sz="1400" b="1">
              <a:solidFill>
                <a:schemeClr val="dk1"/>
              </a:solidFill>
              <a:latin typeface="+mn-lt"/>
              <a:ea typeface="+mn-lt"/>
              <a:cs typeface="+mn-lt"/>
            </a:rPr>
            <a:t>b.</a:t>
          </a:r>
          <a:r>
            <a:rPr sz="1400" b="0">
              <a:solidFill>
                <a:schemeClr val="dk1"/>
              </a:solidFill>
              <a:latin typeface="+mn-lt"/>
              <a:ea typeface="+mn-lt"/>
              <a:cs typeface="+mn-lt"/>
            </a:rPr>
            <a:t> Unfortunately, market Investments are not guaranteed income sources. As we said earlier, y</a:t>
          </a:r>
          <a:r>
            <a:rPr sz="1400">
              <a:solidFill>
                <a:schemeClr val="dk1"/>
              </a:solidFill>
              <a:latin typeface="+mn-lt"/>
              <a:ea typeface="+mn-lt"/>
              <a:cs typeface="+mn-lt"/>
            </a:rPr>
            <a:t>our skill sets will be different at age 90 than at age 60 and yet you will be facing the added burden of managing a stock portfolio which you are financially dependent on for income. </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Guaranteed Income and solve the Longevity and Management income problem.</a:t>
          </a:r>
          <a:endParaRPr/>
        </a:p>
        <a:p>
          <a:pPr algn="l">
            <a:buNone/>
          </a:pPr>
          <a:endParaRPr/>
        </a:p>
        <a:p>
          <a:pPr algn="ctr">
            <a:buNone/>
          </a:pPr>
          <a:r>
            <a:rPr sz="1600" b="1"/>
            <a:t>On a scale of 1 to 10, How important is it to build a Plan to solve these issues today; </a:t>
          </a:r>
          <a:endParaRPr/>
        </a:p>
        <a:p>
          <a:pPr algn="ctr">
            <a:buNone/>
          </a:pPr>
          <a:r>
            <a:rPr sz="1600" b="1"/>
            <a:t>so that they do not have an adverse effect on your retirement?    </a:t>
          </a:r>
          <a:endParaRPr/>
        </a:p>
        <a:p>
          <a:pPr algn="l">
            <a:buNone/>
          </a:pPr>
          <a:endParaRPr/>
        </a:p>
        <a:p>
          <a:pPr marL="0" indent="0" algn="ctr">
            <a:lnSpc>
              <a:spcPct val="100000"/>
            </a:lnSpc>
            <a:buNone/>
          </a:pPr>
          <a:endParaRPr/>
        </a:p>
        <a:p>
          <a:pPr marL="0" indent="0" algn="ctr">
            <a:lnSpc>
              <a:spcPct val="100000"/>
            </a:lnSpc>
            <a:buNone/>
          </a:pPr>
          <a:r>
            <a:rPr sz="1600" b="1" i="0">
              <a:solidFill>
                <a:schemeClr val="dk1"/>
              </a:solidFill>
              <a:latin typeface="+mn-lt"/>
              <a:ea typeface="+mn-lt"/>
              <a:cs typeface="+mn-lt"/>
            </a:rPr>
            <a:t>Do You or Your present planner have a plan to solve these issues? </a:t>
          </a:r>
          <a:endParaRPr/>
        </a:p>
        <a:p>
          <a:pPr algn="ctr">
            <a:buNone/>
          </a:pPr>
          <a:endParaRPr/>
        </a:p>
        <a:p>
          <a:pPr algn="l">
            <a:buNone/>
          </a:pPr>
          <a:endParaRPr/>
        </a:p>
        <a:p>
          <a:pPr algn="ctr">
            <a:buNone/>
          </a:pPr>
          <a:r>
            <a:rPr sz="1400" b="1"/>
            <a:t>On a scale of 1 to 10 </a:t>
          </a:r>
          <a:endParaRPr/>
        </a:p>
        <a:p>
          <a:pPr algn="ctr">
            <a:buNone/>
          </a:pPr>
          <a:r>
            <a:rPr sz="1600" b="1"/>
            <a:t>How important is it for you to have a Holistic Retirement Income Plan to solve these issues?</a:t>
          </a:r>
          <a:endParaRPr/>
        </a:p>
        <a:p>
          <a:pPr algn="l">
            <a:buNone/>
          </a:pPr>
          <a:endParaRPr/>
        </a:p>
        <a:p>
          <a:pPr algn="ctr">
            <a:buNone/>
          </a:pPr>
          <a:endParaRPr/>
        </a:p>
        <a:p>
          <a:pPr algn="ctr">
            <a:buNone/>
          </a:pPr>
          <a:r>
            <a:rPr sz="1600" b="1" i="0" u="none">
              <a:solidFill>
                <a:schemeClr val="dk1"/>
              </a:solidFill>
              <a:latin typeface="+mn-lt"/>
              <a:ea typeface="+mn-lt"/>
              <a:cs typeface="+mn-lt"/>
            </a:rPr>
            <a:t>Due to changing Interest Rates: If we build a plan how soon do you want to Impliment the Plan?</a:t>
          </a:r>
          <a:r>
            <a:rPr sz="1600"/>
            <a:t> </a:t>
          </a:r>
          <a:r>
            <a:rPr sz="1200"/>
            <a:t>	</a:t>
          </a:r>
          <a:endParaRPr/>
        </a:p>
      </xdr:txBody>
    </xdr:sp>
    <xdr:clientData/>
  </xdr:twoCellAnchor>
  <xdr:twoCellAnchor editAs="oneCell">
    <xdr:from>
      <xdr:col>7</xdr:col>
      <xdr:colOff>95250</xdr:colOff>
      <xdr:row>0</xdr:row>
      <xdr:rowOff>101600</xdr:rowOff>
    </xdr:from>
    <xdr:to>
      <xdr:col>10</xdr:col>
      <xdr:colOff>3175</xdr:colOff>
      <xdr:row>4</xdr:row>
      <xdr:rowOff>0</xdr:rowOff>
    </xdr:to>
    <xdr:pic>
      <xdr:nvPicPr>
        <xdr:cNvPr id="3" name="/xl/media/image16.jpeg">
          <a:extLst>
            <a:ext uri="{FF2B5EF4-FFF2-40B4-BE49-F238E27FC236}">
              <a16:creationId xmlns:a16="http://schemas.microsoft.com/office/drawing/2014/main" id="{00000000-0008-0000-6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6400-000002000000}"/>
            </a:ext>
          </a:extLst>
        </xdr:cNvPr>
        <xdr:cNvSpPr>
          <a:spLocks noGrp="1"/>
        </xdr:cNvSpPr>
      </xdr:nvSpPr>
      <xdr:spPr>
        <a:xfrm>
          <a:off x="0" y="8349762"/>
          <a:ext cx="13855944"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15.jpeg">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14</xdr:col>
      <xdr:colOff>19050</xdr:colOff>
      <xdr:row>38</xdr:row>
      <xdr:rowOff>104775</xdr:rowOff>
    </xdr:to>
    <xdr:pic>
      <xdr:nvPicPr>
        <xdr:cNvPr id="2" name="/xl/media/image17.png">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203200</xdr:colOff>
      <xdr:row>38</xdr:row>
      <xdr:rowOff>66674</xdr:rowOff>
    </xdr:to>
    <xdr:pic>
      <xdr:nvPicPr>
        <xdr:cNvPr id="2" name="/xl/media/image18.png">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52371</xdr:colOff>
      <xdr:row>49</xdr:row>
      <xdr:rowOff>152400</xdr:rowOff>
    </xdr:to>
    <xdr:sp macro="" textlink="">
      <xdr:nvSpPr>
        <xdr:cNvPr id="2" name="TextBox 1">
          <a:extLst>
            <a:ext uri="{FF2B5EF4-FFF2-40B4-BE49-F238E27FC236}">
              <a16:creationId xmlns:a16="http://schemas.microsoft.com/office/drawing/2014/main" id="{00000000-0008-0000-6700-000002000000}"/>
            </a:ext>
          </a:extLst>
        </xdr:cNvPr>
        <xdr:cNvSpPr>
          <a:spLocks noGrp="1"/>
        </xdr:cNvSpPr>
      </xdr:nvSpPr>
      <xdr:spPr>
        <a:xfrm>
          <a:off x="0" y="0"/>
          <a:ext cx="12241752" cy="785095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a:p>
          <a:pPr marL="0" indent="0" algn="ctr">
            <a:lnSpc>
              <a:spcPct val="100000"/>
            </a:lnSpc>
            <a:buNone/>
          </a:pPr>
          <a:r>
            <a:rPr sz="1600">
              <a:solidFill>
                <a:schemeClr val="dk1"/>
              </a:solidFill>
              <a:latin typeface="+mn-lt"/>
              <a:ea typeface="+mn-lt"/>
              <a:cs typeface="+mn-lt"/>
            </a:rPr>
            <a:t>All Plans and Strategies must be approved for Compliance and Suitability before Copies can be Released </a:t>
          </a:r>
          <a:endParaRPr/>
        </a:p>
        <a:p>
          <a:pPr algn="ctr">
            <a:buNone/>
          </a:pPr>
          <a:endParaRPr/>
        </a:p>
        <a:p>
          <a:pPr algn="ctr">
            <a:buNone/>
          </a:pPr>
          <a:r>
            <a:rPr sz="2000" b="0" i="1"/>
            <a:t>I hope it's so, Traditional Retirement vs. I know it's so, Holistic Retirement</a:t>
          </a:r>
          <a:endParaRPr/>
        </a:p>
        <a:p>
          <a:pPr algn="l">
            <a:buNone/>
          </a:pPr>
          <a:endParaRPr/>
        </a:p>
        <a:p>
          <a:pPr algn="ctr">
            <a:buNone/>
          </a:pPr>
          <a:r>
            <a:rPr sz="3600" b="1"/>
            <a:t>"Maximizing Retirement</a:t>
          </a:r>
          <a:endParaRPr/>
        </a:p>
        <a:p>
          <a:pPr algn="ctr">
            <a:buNone/>
          </a:pPr>
          <a:r>
            <a:rPr sz="3600" b="1"/>
            <a:t>A New Paradigm in Professional Planning" </a:t>
          </a:r>
          <a:endParaRPr/>
        </a:p>
        <a:p>
          <a:pPr algn="ctr">
            <a:buNone/>
          </a:pPr>
          <a:endParaRPr/>
        </a:p>
        <a:p>
          <a:pPr algn="ctr">
            <a:buNone/>
          </a:pPr>
          <a:r>
            <a:rPr sz="2400" i="1"/>
            <a:t>for </a:t>
          </a:r>
          <a:endParaRPr/>
        </a:p>
        <a:p>
          <a:pPr algn="ctr">
            <a:buNone/>
          </a:pPr>
          <a:endParaRPr/>
        </a:p>
        <a:p>
          <a:pPr marL="0" indent="0" algn="ctr">
            <a:lnSpc>
              <a:spcPct val="100000"/>
            </a:lnSpc>
            <a:buNone/>
          </a:pPr>
          <a:r>
            <a:rPr sz="3600"/>
            <a:t>Marjorie and George Serafin</a:t>
          </a:r>
          <a:endParaRPr/>
        </a:p>
        <a:p>
          <a:pPr algn="ctr">
            <a:buNone/>
          </a:pPr>
          <a:endParaRPr/>
        </a:p>
        <a:p>
          <a:pPr algn="ctr">
            <a:buNone/>
          </a:pPr>
          <a:endParaRPr/>
        </a:p>
        <a:p>
          <a:pPr algn="ctr">
            <a:buNone/>
          </a:pPr>
          <a:r>
            <a:rPr sz="2800" b="1"/>
            <a:t> </a:t>
          </a: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r>
            <a:rPr sz="1800"/>
            <a:t>America United Wealth Planning</a:t>
          </a:r>
          <a:endParaRPr/>
        </a:p>
        <a:p>
          <a:pPr algn="ctr">
            <a:buNone/>
          </a:pPr>
          <a:r>
            <a:rPr sz="1100"/>
            <a:t>1900 E Golf Rd Suite 950</a:t>
          </a:r>
          <a:endParaRPr/>
        </a:p>
        <a:p>
          <a:pPr algn="ctr">
            <a:buNone/>
          </a:pPr>
          <a:r>
            <a:rPr sz="1100"/>
            <a:t>Schaumburg, Illinois 60173</a:t>
          </a:r>
          <a:endParaRPr/>
        </a:p>
        <a:p>
          <a:pPr algn="ctr">
            <a:buNone/>
          </a:pPr>
          <a:r>
            <a:rPr sz="1100"/>
            <a:t>(847) 592-5405</a:t>
          </a:r>
          <a:endParaRPr/>
        </a:p>
      </xdr:txBody>
    </xdr:sp>
    <xdr:clientData/>
  </xdr:twoCellAnchor>
  <xdr:twoCellAnchor editAs="oneCell">
    <xdr:from>
      <xdr:col>6</xdr:col>
      <xdr:colOff>582629</xdr:colOff>
      <xdr:row>22</xdr:row>
      <xdr:rowOff>1209</xdr:rowOff>
    </xdr:from>
    <xdr:to>
      <xdr:col>12</xdr:col>
      <xdr:colOff>141107</xdr:colOff>
      <xdr:row>42</xdr:row>
      <xdr:rowOff>32730</xdr:rowOff>
    </xdr:to>
    <xdr:pic>
      <xdr:nvPicPr>
        <xdr:cNvPr id="3" name="/xl/media/image19.png">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68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1744324" cy="24269700"/>
    <xdr:sp macro="" textlink="">
      <xdr:nvSpPr>
        <xdr:cNvPr id="3" name="TextBox 2">
          <a:extLst>
            <a:ext uri="{FF2B5EF4-FFF2-40B4-BE49-F238E27FC236}">
              <a16:creationId xmlns:a16="http://schemas.microsoft.com/office/drawing/2014/main" id="{00000000-0008-0000-6800-000003000000}"/>
            </a:ext>
          </a:extLst>
        </xdr:cNvPr>
        <xdr:cNvSpPr>
          <a:spLocks noGrp="1"/>
        </xdr:cNvSpPr>
      </xdr:nvSpPr>
      <xdr:spPr>
        <a:xfrm>
          <a:off x="238126" y="0"/>
          <a:ext cx="11744324" cy="242697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Plan "1" Maximized Income for Life Plan</a:t>
          </a:r>
          <a:endParaRPr/>
        </a:p>
        <a:p>
          <a:pPr algn="ctr">
            <a:buNone/>
          </a:pPr>
          <a:r>
            <a:rPr sz="4000"/>
            <a:t>Recap and Fact Sheet</a:t>
          </a:r>
          <a:endParaRPr/>
        </a:p>
        <a:p>
          <a:pPr algn="ctr">
            <a:buNone/>
          </a:pPr>
          <a:endParaRPr/>
        </a:p>
        <a:p>
          <a:pPr algn="l">
            <a:buNone/>
          </a:pPr>
          <a:r>
            <a:rPr sz="2400" b="1">
              <a:solidFill>
                <a:schemeClr val="tx1"/>
              </a:solidFill>
              <a:latin typeface="+mn-lt"/>
              <a:ea typeface="+mn-lt"/>
              <a:cs typeface="+mn-lt"/>
            </a:rPr>
            <a:t>Problem 1: </a:t>
          </a:r>
          <a:r>
            <a:rPr sz="2400" b="0">
              <a:solidFill>
                <a:schemeClr val="tx1"/>
              </a:solidFill>
              <a:latin typeface="+mn-lt"/>
              <a:ea typeface="+mn-lt"/>
              <a:cs typeface="+mn-lt"/>
            </a:rPr>
            <a:t>Portfolio Risk, risk of losing assets to produce income: No one can predict the direction that the market will take in the future. Your Present </a:t>
          </a:r>
          <a:r>
            <a:rPr sz="2400">
              <a:solidFill>
                <a:schemeClr val="tx1"/>
              </a:solidFill>
              <a:latin typeface="+mn-lt"/>
              <a:ea typeface="+mn-lt"/>
              <a:cs typeface="+mn-lt"/>
            </a:rPr>
            <a:t>Market Risk exposure to losing assets is 90%. AARP suggests that your market risk exposure should be no greater than 55%.   </a:t>
          </a:r>
          <a:r>
            <a:rPr sz="1800">
              <a:solidFill>
                <a:schemeClr val="tx1"/>
              </a:solidFill>
              <a:latin typeface="+mn-lt"/>
              <a:ea typeface="+mn-lt"/>
              <a:cs typeface="+mn-lt"/>
            </a:rPr>
            <a:t>(AARP Rule 120 - age 65 = 55%)    </a:t>
          </a:r>
          <a:endParaRPr/>
        </a:p>
        <a:p>
          <a:pPr algn="l">
            <a:buNone/>
          </a:pPr>
          <a:endParaRPr/>
        </a:p>
        <a:p>
          <a:pPr algn="l">
            <a:buNone/>
          </a:pPr>
          <a:r>
            <a:rPr sz="2400" b="1" i="1">
              <a:solidFill>
                <a:schemeClr val="tx1"/>
              </a:solidFill>
              <a:latin typeface="+mn-lt"/>
              <a:ea typeface="+mn-lt"/>
              <a:cs typeface="+mn-lt"/>
            </a:rPr>
            <a:t>- Solution: </a:t>
          </a:r>
          <a:r>
            <a:rPr sz="2400" b="0">
              <a:solidFill>
                <a:schemeClr val="tx1"/>
              </a:solidFill>
              <a:latin typeface="+mn-lt"/>
              <a:ea typeface="+mn-lt"/>
              <a:cs typeface="+mn-lt"/>
            </a:rPr>
            <a:t>Plan 1 calls for us to move some money out of the market and protect the balances from potential market loss. Variable Annuities and 401k's will lose money in a Market Downturn. It's not a matter of if, it's a matter of when. The market is at the highest it's been in history, it has no other direction to go, but down. If there is a market downturn between today and your retirement day it could delay your retirement date. Losing money during retirement when you can't go back to work and earn back your losses, could devastate your retirement. This plan reduces your maket risk exposure, it brings it down from 90% to just 15%. </a:t>
          </a:r>
          <a:endParaRPr/>
        </a:p>
        <a:p>
          <a:pPr algn="l">
            <a:buNone/>
          </a:pPr>
          <a:endParaRPr/>
        </a:p>
        <a:p>
          <a:pPr marL="0" indent="0" algn="l">
            <a:lnSpc>
              <a:spcPct val="100000"/>
            </a:lnSpc>
            <a:buNone/>
          </a:pPr>
          <a:r>
            <a:rPr sz="2400" b="1">
              <a:solidFill>
                <a:schemeClr val="tx1"/>
              </a:solidFill>
              <a:latin typeface="+mn-lt"/>
              <a:ea typeface="+mn-lt"/>
              <a:cs typeface="+mn-lt"/>
            </a:rPr>
            <a:t>Problem 2: </a:t>
          </a:r>
          <a:r>
            <a:rPr sz="2400" b="0">
              <a:solidFill>
                <a:schemeClr val="tx1"/>
              </a:solidFill>
              <a:latin typeface="+mn-lt"/>
              <a:ea typeface="+mn-lt"/>
              <a:cs typeface="+mn-lt"/>
            </a:rPr>
            <a:t>Income and Longevity Risk. According to AARP and Boston College Center for Retirement Research, the two major issues all retirees face are inflation and taxes. Your combined present income today  is $85,748.00 per year. At just 2% inflation in 5 years it will take $94,663.00 to match todays $85,748.00 per year income level. When Marjorie retires your income is projected to drop to just $69,828.00 per year.  You are going to have to deal with increasing inflation and taxes, yet you are starting out your joint retirement with a 20% pay cut from today's income levels. </a:t>
          </a:r>
          <a:endParaRPr/>
        </a:p>
        <a:p>
          <a:pPr algn="l">
            <a:buNone/>
          </a:pPr>
          <a:endParaRPr/>
        </a:p>
        <a:p>
          <a:pPr algn="l">
            <a:buNone/>
          </a:pPr>
          <a:r>
            <a:rPr sz="2400" b="1" i="1">
              <a:solidFill>
                <a:schemeClr val="tx1"/>
              </a:solidFill>
              <a:latin typeface="+mn-lt"/>
              <a:ea typeface="+mn-lt"/>
              <a:cs typeface="+mn-lt"/>
            </a:rPr>
            <a:t>- Solution: </a:t>
          </a:r>
          <a:r>
            <a:rPr sz="2400" b="0">
              <a:solidFill>
                <a:schemeClr val="tx1"/>
              </a:solidFill>
              <a:latin typeface="+mn-lt"/>
              <a:ea typeface="+mn-lt"/>
              <a:cs typeface="+mn-lt"/>
            </a:rPr>
            <a:t>Plan 1 replaces more than 100% of your present day salary and steps up the income to help offset inflation and taxes. Instead of taking a 20% retirment day pay cut, the new plan will start your income at $85,830.32. After two years your income will step up from $85,830.32 per year to $90,894.37 per year. We take the joint longevity risk of outliving our income off the table, as all of the joint income in Plan 1 is guaranteed and can't be outlived. </a:t>
          </a:r>
          <a:endParaRPr/>
        </a:p>
        <a:p>
          <a:pPr algn="l">
            <a:buNone/>
          </a:pPr>
          <a:endParaRPr/>
        </a:p>
        <a:p>
          <a:pPr algn="l">
            <a:buNone/>
          </a:pPr>
          <a:r>
            <a:rPr sz="2400" b="1">
              <a:solidFill>
                <a:schemeClr val="tx1"/>
              </a:solidFill>
              <a:latin typeface="+mn-lt"/>
              <a:ea typeface="+mn-lt"/>
              <a:cs typeface="+mn-lt"/>
            </a:rPr>
            <a:t>Problem 3: </a:t>
          </a:r>
          <a:r>
            <a:rPr sz="2400" b="0">
              <a:solidFill>
                <a:schemeClr val="tx1"/>
              </a:solidFill>
              <a:latin typeface="+mn-lt"/>
              <a:ea typeface="+mn-lt"/>
              <a:cs typeface="+mn-lt"/>
            </a:rPr>
            <a:t>Survivorship Income and Longevity Risk. According to Stanford University's Center on Longevity, since 1900 life expectancies have increase by over 25 years. If one of you should pass on before the other, the survivor will automatically lose the lower paying Social Security and some pension income. According to projections, your future survivorship income shortage is in the $30,000 - $60,000 per year range. Because we are living longer, your Survivor will face three problems. a. The cost of living will be higher, the survivor will need more income. b. He or she will need income for a longer period of time. c. The survivor will be faced with trying to manage and make decisions on a stock portfoio with deteriorating mental skills. </a:t>
          </a:r>
          <a:r>
            <a:rPr sz="1800" b="0">
              <a:solidFill>
                <a:schemeClr val="tx1"/>
              </a:solidFill>
              <a:latin typeface="+mn-lt"/>
              <a:ea typeface="+mn-lt"/>
              <a:cs typeface="+mn-lt"/>
            </a:rPr>
            <a:t>(65 year old people are inclinded to make better decisions than 85 year old people.)  </a:t>
          </a:r>
          <a:endParaRPr/>
        </a:p>
        <a:p>
          <a:pPr algn="l">
            <a:buNone/>
          </a:pPr>
          <a:endParaRPr/>
        </a:p>
        <a:p>
          <a:pPr algn="l">
            <a:buNone/>
          </a:pPr>
          <a:r>
            <a:rPr sz="2400" b="1" i="1">
              <a:solidFill>
                <a:schemeClr val="tx1"/>
              </a:solidFill>
              <a:latin typeface="+mn-lt"/>
              <a:ea typeface="+mn-lt"/>
              <a:cs typeface="+mn-lt"/>
            </a:rPr>
            <a:t>The Solution: </a:t>
          </a:r>
          <a:r>
            <a:rPr sz="2400" b="0">
              <a:solidFill>
                <a:schemeClr val="tx1"/>
              </a:solidFill>
              <a:latin typeface="+mn-lt"/>
              <a:ea typeface="+mn-lt"/>
              <a:cs typeface="+mn-lt"/>
            </a:rPr>
            <a:t>Plan 1 is designed to offset and replace the lost Social Security and Pension Income. Our goal is to increase Survivorship income. Since the plan provides an income that is guaranteed for both lives, it can not be outlived. It solves the longevity problem and is automatic. As we age our skill sets deteriorate. Your income will be automatic, no decisions will be needed, thus creating a more secure income. </a:t>
          </a:r>
          <a:endParaRPr/>
        </a:p>
        <a:p>
          <a:pPr algn="l">
            <a:buNone/>
          </a:pPr>
          <a:endParaRPr/>
        </a:p>
        <a:p>
          <a:r>
            <a:rPr sz="2400" b="1">
              <a:solidFill>
                <a:schemeClr val="tx1"/>
              </a:solidFill>
              <a:latin typeface="+mn-lt"/>
              <a:ea typeface="+mn-lt"/>
              <a:cs typeface="+mn-lt"/>
            </a:rPr>
            <a:t>Problem 4: Income Spousal Continuance and Taxes: </a:t>
          </a:r>
          <a:r>
            <a:rPr sz="2400" b="0">
              <a:solidFill>
                <a:schemeClr val="tx1"/>
              </a:solidFill>
              <a:latin typeface="+mn-lt"/>
              <a:ea typeface="+mn-lt"/>
              <a:cs typeface="+mn-lt"/>
            </a:rPr>
            <a:t>The income paid in the AXA Annuity Income rider will be paid based on the balance in the account. This is a Variable Annuity,  it's an investment and the balance is not guaranteed. The AXA income rider is used to compute the level of income AXA will pay you.  They use a 6.5% growth rate, to be used for computation purposes only. Once the income is started, if the market drops and your balance drops you will deplete your balance to -0-. If the market comes back to the level it was prior to turning on the income rider, your income will continue. If the market does not come back and you continue to take the income you will spend down your balance; and eventually deplete your balance and the income will stop. </a:t>
          </a:r>
          <a:endParaRPr/>
        </a:p>
        <a:p>
          <a:endParaRPr/>
        </a:p>
        <a:p>
          <a:r>
            <a:rPr sz="2400" b="1" i="1">
              <a:solidFill>
                <a:schemeClr val="tx1"/>
              </a:solidFill>
              <a:latin typeface="+mn-lt"/>
              <a:ea typeface="+mn-lt"/>
              <a:cs typeface="+mn-lt"/>
            </a:rPr>
            <a:t>The Solution: </a:t>
          </a:r>
          <a:r>
            <a:rPr sz="2400" b="0">
              <a:solidFill>
                <a:schemeClr val="tx1"/>
              </a:solidFill>
              <a:latin typeface="+mn-lt"/>
              <a:ea typeface="+mn-lt"/>
              <a:cs typeface="+mn-lt"/>
            </a:rPr>
            <a:t>With Plan 1 you are using a Fixed Index Annuity that insures your income. This is an insurance policy that insures that your income can not be outlived. Because it is not an investment, you can not lose your balance or the level of your income. If George dies Majorie still gets 100% Spousal continuance income until she passes on. </a:t>
          </a:r>
          <a:endParaRPr/>
        </a:p>
        <a:p>
          <a:endParaRPr/>
        </a:p>
        <a:p>
          <a:r>
            <a:rPr sz="2400" b="1" i="1">
              <a:solidFill>
                <a:schemeClr val="tx1"/>
              </a:solidFill>
              <a:latin typeface="+mn-lt"/>
              <a:ea typeface="+mn-lt"/>
              <a:cs typeface="+mn-lt"/>
            </a:rPr>
            <a:t>The Solution: </a:t>
          </a:r>
          <a:r>
            <a:rPr sz="2400" b="0" i="0">
              <a:solidFill>
                <a:schemeClr val="tx1"/>
              </a:solidFill>
              <a:latin typeface="+mn-lt"/>
              <a:ea typeface="+mn-lt"/>
              <a:cs typeface="+mn-lt"/>
            </a:rPr>
            <a:t>There</a:t>
          </a:r>
          <a:r>
            <a:rPr sz="2400" b="1" i="1">
              <a:solidFill>
                <a:schemeClr val="tx1"/>
              </a:solidFill>
              <a:latin typeface="+mn-lt"/>
              <a:ea typeface="+mn-lt"/>
              <a:cs typeface="+mn-lt"/>
            </a:rPr>
            <a:t> </a:t>
          </a:r>
          <a:r>
            <a:rPr sz="2400" b="0">
              <a:solidFill>
                <a:schemeClr val="tx1"/>
              </a:solidFill>
              <a:latin typeface="+mn-lt"/>
              <a:ea typeface="+mn-lt"/>
              <a:cs typeface="+mn-lt"/>
            </a:rPr>
            <a:t>will be no tax problem.  In plan 1 you are rolling over George's Variable Annuity IRA to a new Fixed Index Annuity IRA account</a:t>
          </a:r>
          <a:r>
            <a:rPr sz="2400">
              <a:solidFill>
                <a:schemeClr val="tx1"/>
              </a:solidFill>
              <a:latin typeface="+mn-lt"/>
              <a:ea typeface="+mn-lt"/>
              <a:cs typeface="+mn-lt"/>
            </a:rPr>
            <a:t>. You are also rolling over 50% of Marge's 401k to a new IRA. There is no tax event when rolling over an existing 401k to a new IRA. You will have to pay a small amount of surrender charge 2% to AXA on your Variable annuity, for early termination. This amount will be made up with the 8% bonus money in the new account.  </a:t>
          </a:r>
          <a:endParaRPr/>
        </a:p>
        <a:p>
          <a:endParaRPr/>
        </a:p>
        <a:p>
          <a:pPr marL="0" indent="0">
            <a:lnSpc>
              <a:spcPct val="100000"/>
            </a:lnSpc>
            <a:buNone/>
          </a:pPr>
          <a:r>
            <a:rPr sz="2400" b="1" i="1">
              <a:solidFill>
                <a:schemeClr val="tx1"/>
              </a:solidFill>
              <a:latin typeface="+mn-lt"/>
              <a:ea typeface="+mn-lt"/>
              <a:cs typeface="+mn-lt"/>
            </a:rPr>
            <a:t>The Solution: </a:t>
          </a:r>
          <a:r>
            <a:rPr sz="2400" b="0">
              <a:solidFill>
                <a:schemeClr val="tx1"/>
              </a:solidFill>
              <a:latin typeface="+mn-lt"/>
              <a:ea typeface="+mn-lt"/>
              <a:cs typeface="+mn-lt"/>
            </a:rPr>
            <a:t>Plan 1 provides $29,040.00 in additional bonus income paid by the insurance company when you execute the plan. This will offset your costs and create a surplus when exercising the Plan. </a:t>
          </a:r>
          <a:endParaRPr/>
        </a:p>
        <a:p>
          <a:endParaRPr/>
        </a:p>
        <a:p>
          <a:endParaRPr/>
        </a:p>
        <a:p>
          <a:pPr algn="ctr">
            <a:buNone/>
          </a:pPr>
          <a:endParaRPr/>
        </a:p>
      </xdr:txBody>
    </xdr:sp>
    <xdr:clientData/>
  </xdr:oneCellAnchor>
</xdr:wsDr>
</file>

<file path=xl/drawings/drawing98.xml><?xml version="1.0" encoding="utf-8"?>
<xdr:wsDr xmlns:xdr="http://schemas.openxmlformats.org/drawingml/2006/spreadsheetDrawing" xmlns:a="http://schemas.openxmlformats.org/drawingml/2006/main">
  <xdr:twoCellAnchor editAs="oneCell">
    <xdr:from>
      <xdr:col>6</xdr:col>
      <xdr:colOff>594360</xdr:colOff>
      <xdr:row>5</xdr:row>
      <xdr:rowOff>190500</xdr:rowOff>
    </xdr:from>
    <xdr:to>
      <xdr:col>13</xdr:col>
      <xdr:colOff>1325880</xdr:colOff>
      <xdr:row>27</xdr:row>
      <xdr:rowOff>7620</xdr:rowOff>
    </xdr:to>
    <xdr:sp macro="" textlink="">
      <xdr:nvSpPr>
        <xdr:cNvPr id="2" name="Rectangle 1">
          <a:extLst>
            <a:ext uri="{FF2B5EF4-FFF2-40B4-BE49-F238E27FC236}">
              <a16:creationId xmlns:a16="http://schemas.microsoft.com/office/drawing/2014/main" id="{00000000-0008-0000-6900-000002000000}"/>
            </a:ext>
          </a:extLst>
        </xdr:cNvPr>
        <xdr:cNvSpPr>
          <a:spLocks noGrp="1"/>
        </xdr:cNvSpPr>
      </xdr:nvSpPr>
      <xdr:spPr>
        <a:xfrm>
          <a:off x="6309360" y="1341120"/>
          <a:ext cx="7185660" cy="41224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1</xdr:col>
      <xdr:colOff>257175</xdr:colOff>
      <xdr:row>2</xdr:row>
      <xdr:rowOff>142875</xdr:rowOff>
    </xdr:from>
    <xdr:ext cx="7658100" cy="4038600"/>
    <xdr:sp macro="" textlink="">
      <xdr:nvSpPr>
        <xdr:cNvPr id="2" name="TextBox 1">
          <a:extLst>
            <a:ext uri="{FF2B5EF4-FFF2-40B4-BE49-F238E27FC236}">
              <a16:creationId xmlns:a16="http://schemas.microsoft.com/office/drawing/2014/main" id="{00000000-0008-0000-6A00-000002000000}"/>
            </a:ext>
          </a:extLst>
        </xdr:cNvPr>
        <xdr:cNvSpPr>
          <a:spLocks noGrp="1"/>
        </xdr:cNvSpPr>
      </xdr:nvSpPr>
      <xdr:spPr>
        <a:xfrm>
          <a:off x="866775" y="466725"/>
          <a:ext cx="7658100" cy="403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600075</xdr:colOff>
      <xdr:row>0</xdr:row>
      <xdr:rowOff>28574</xdr:rowOff>
    </xdr:from>
    <xdr:ext cx="11582400" cy="6200775"/>
    <xdr:sp macro="" textlink="">
      <xdr:nvSpPr>
        <xdr:cNvPr id="3" name="TextBox 2">
          <a:extLst>
            <a:ext uri="{FF2B5EF4-FFF2-40B4-BE49-F238E27FC236}">
              <a16:creationId xmlns:a16="http://schemas.microsoft.com/office/drawing/2014/main" id="{00000000-0008-0000-6A00-000003000000}"/>
            </a:ext>
          </a:extLst>
        </xdr:cNvPr>
        <xdr:cNvSpPr>
          <a:spLocks noGrp="1"/>
        </xdr:cNvSpPr>
      </xdr:nvSpPr>
      <xdr:spPr>
        <a:xfrm>
          <a:off x="600075" y="28574"/>
          <a:ext cx="11582400" cy="6200775"/>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Phase One</a:t>
          </a:r>
          <a:endParaRPr/>
        </a:p>
        <a:p>
          <a:pPr algn="ctr">
            <a:buNone/>
          </a:pPr>
          <a:r>
            <a:rPr sz="4000"/>
            <a:t>Preliminary Income Plan and Asset Comparisons</a:t>
          </a:r>
          <a:endParaRP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tem%20Gold%20Immediate%20Plan%20"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0Hedge%20Plan%20A%20Gregs%20Survival"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Hedge%20Plan%203%20Snapshot%20"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FOUNDATION%20Silver%20Her%20Surv%20%20"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FOUNDATION%20Silver%20His%20Surv%20%20"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Her%20Survival%20No%20Plan%20"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New%20ABC%20Allocation%20%20"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MRI%20-ABC%20Current%20Allocation%20"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ge%2063%20B%20No%20Inflation%20Plan%2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ith%20Inflation%20Adj%20Recap%20"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ilver%20Plan%20%222%22%20"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gan%20Goals%2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tem%20Gold%20Plan%20Allocation%20"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Hedge%20Plan%20B%20Joint%20"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Hedge%20Plan%20B%20Marys%20Survival%20"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Hedge%20Plan%20B%20Gregs%20Survival"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20Hedge%20Plan%20A%20Joint"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0Hedge%20Plan%20A%20Marys%20Surviv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m Gold Immediate Plan "/>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A Gregs Survival"/>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dge Plan 3 Snapshot "/>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UNDATION Silver Her Surv  "/>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UNDATION Silver His Surv  "/>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r Survival No Plan "/>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BC Allocation  "/>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I -ABC Current Allocation "/>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 63 B No Inflation Plan "/>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th Inflation Adj Recap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ver Plan &quot;2&quot; "/>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gan Goals "/>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m Gold Plan Allocation "/>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B Joint "/>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B Marys Survival "/>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B Gregs Survival"/>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A Join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Hedge Plan A Marys Survival"/>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a:ea typeface="Calibri"/>
        <a:cs typeface="Calibri"/>
      </a:majorFont>
      <a:minorFont>
        <a:latin typeface="Calibri"/>
        <a:ea typeface="Calibri"/>
        <a:cs typeface="Calibri"/>
      </a:minorFont>
    </a:fontScheme>
    <a:fmtScheme name="Office">
      <a:fillStyleLst>
        <a:solidFill>
          <a:schemeClr val="phClr"/>
        </a:solidFill>
        <a:solidFill>
          <a:schemeClr val="dk1"/>
        </a:solidFill>
        <a:solidFill>
          <a:schemeClr val="accent1"/>
        </a:solidFill>
      </a:fillStyleLst>
      <a:lnStyleLst>
        <a:ln w="6350">
          <a:solidFill>
            <a:schemeClr val="phClr"/>
          </a:solidFill>
          <a:prstDash val="solid"/>
        </a:ln>
        <a:ln w="12700">
          <a:solidFill>
            <a:schemeClr val="phClr"/>
          </a:solidFill>
          <a:prstDash val="solid"/>
        </a:ln>
        <a:ln w="19050">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8.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5422223578601"/>
  </sheetPr>
  <dimension ref="A1:U123"/>
  <sheetViews>
    <sheetView showGridLines="0" workbookViewId="0"/>
  </sheetViews>
  <sheetFormatPr defaultRowHeight="12.45"/>
  <cols>
    <col min="1" max="1" width="11.875" customWidth="1"/>
    <col min="2" max="2" width="10.625" customWidth="1"/>
    <col min="3" max="3" width="11.25" customWidth="1"/>
    <col min="4" max="4" width="11.875" customWidth="1"/>
    <col min="5" max="5" width="16.625" customWidth="1"/>
    <col min="6" max="6" width="18.25" customWidth="1"/>
    <col min="7" max="8" width="17.125" customWidth="1"/>
    <col min="9" max="9" width="22.875" customWidth="1"/>
    <col min="10" max="10" width="27" customWidth="1"/>
    <col min="11" max="18" width="8.875" style="75"/>
    <col min="19" max="21" width="8.875" style="156"/>
  </cols>
  <sheetData>
    <row r="1" spans="1:13" ht="20.3">
      <c r="A1" s="752"/>
      <c r="B1" s="753"/>
      <c r="C1" s="753"/>
      <c r="D1" s="1499" t="s">
        <v>0</v>
      </c>
      <c r="E1" s="1499"/>
      <c r="F1" s="1499"/>
      <c r="G1" s="1499"/>
      <c r="H1" s="1499"/>
      <c r="I1" s="1499"/>
      <c r="J1" s="843" t="s">
        <v>1</v>
      </c>
      <c r="K1" s="393"/>
      <c r="L1" s="393"/>
      <c r="M1" s="393"/>
    </row>
    <row r="2" spans="1:13" ht="20.3">
      <c r="A2" s="755"/>
      <c r="B2" s="756"/>
      <c r="C2" s="756"/>
      <c r="D2" s="756"/>
      <c r="E2" s="756"/>
      <c r="F2" s="756"/>
      <c r="G2" s="756"/>
      <c r="H2" s="844" t="s">
        <v>2</v>
      </c>
      <c r="I2" s="844" t="s">
        <v>3</v>
      </c>
      <c r="J2" s="845" t="s">
        <v>4</v>
      </c>
      <c r="K2" s="393"/>
      <c r="L2" s="393"/>
      <c r="M2" s="393"/>
    </row>
    <row r="3" spans="1:13" ht="20.3">
      <c r="A3" s="1500" t="s">
        <v>5</v>
      </c>
      <c r="B3" s="1501"/>
      <c r="C3" s="1501"/>
      <c r="D3" s="1501"/>
      <c r="E3" s="846">
        <v>4500</v>
      </c>
      <c r="F3" s="847" t="s">
        <v>6</v>
      </c>
      <c r="G3" s="848">
        <f>E3*(12)+E4*(12)</f>
        <v>54000</v>
      </c>
      <c r="H3" s="849">
        <v>59</v>
      </c>
      <c r="I3" s="850">
        <v>66</v>
      </c>
      <c r="J3" s="851">
        <f>I3-H3</f>
        <v>7</v>
      </c>
      <c r="K3" s="393"/>
      <c r="L3" s="393"/>
      <c r="M3" s="393"/>
    </row>
    <row r="4" spans="1:13" ht="20.3">
      <c r="A4" s="1502"/>
      <c r="B4" s="1503"/>
      <c r="C4" s="1503"/>
      <c r="D4" s="1503"/>
      <c r="E4" s="852"/>
      <c r="F4" s="761"/>
      <c r="G4" s="762"/>
      <c r="H4" s="762"/>
      <c r="I4" s="762"/>
      <c r="J4" s="853"/>
    </row>
    <row r="5" spans="1:13" ht="20.3">
      <c r="A5" s="1500" t="s">
        <v>7</v>
      </c>
      <c r="B5" s="1501"/>
      <c r="C5" s="1501"/>
      <c r="D5" s="1501"/>
      <c r="E5" s="846">
        <v>2500</v>
      </c>
      <c r="F5" s="840" t="s">
        <v>8</v>
      </c>
      <c r="G5" s="854">
        <f>E5*(12)</f>
        <v>30000</v>
      </c>
      <c r="H5" s="854"/>
      <c r="I5" s="840" t="s">
        <v>9</v>
      </c>
      <c r="J5" s="855">
        <f>G5*1.25</f>
        <v>37500</v>
      </c>
    </row>
    <row r="6" spans="1:13" ht="21.6" customHeight="1">
      <c r="A6" s="1504"/>
      <c r="B6" s="1505"/>
      <c r="C6" s="1505"/>
      <c r="D6" s="1505"/>
      <c r="E6" s="1505"/>
      <c r="F6" s="1505"/>
      <c r="G6" s="1505"/>
      <c r="H6" s="1505"/>
      <c r="I6" s="1505"/>
      <c r="J6" s="1506"/>
    </row>
    <row r="7" spans="1:13" ht="15.05">
      <c r="A7" s="1498" t="s">
        <v>10</v>
      </c>
      <c r="B7" s="1498"/>
      <c r="C7" s="1498"/>
      <c r="D7" s="1498"/>
      <c r="E7" s="1498"/>
      <c r="F7" s="1498"/>
      <c r="G7" s="1498"/>
      <c r="H7" s="1498"/>
      <c r="I7" s="1498"/>
      <c r="J7" s="1498"/>
    </row>
    <row r="8" spans="1:13">
      <c r="A8" s="1507"/>
      <c r="B8" s="1508"/>
      <c r="C8" s="1508"/>
      <c r="D8" s="1508"/>
      <c r="E8" s="1508"/>
      <c r="F8" s="1508"/>
      <c r="G8" s="1508"/>
      <c r="H8" s="1508"/>
      <c r="I8" s="1508"/>
      <c r="J8" s="1509"/>
    </row>
    <row r="9" spans="1:13" ht="18.350000000000001">
      <c r="A9" s="856" t="s">
        <v>11</v>
      </c>
      <c r="B9" s="857">
        <v>2250</v>
      </c>
      <c r="C9" s="858"/>
      <c r="D9" s="238" t="s">
        <v>12</v>
      </c>
      <c r="E9" s="859">
        <v>66</v>
      </c>
      <c r="F9" s="1510" t="s">
        <v>13</v>
      </c>
      <c r="G9" s="1510"/>
      <c r="H9" s="1510"/>
      <c r="I9" s="1510"/>
      <c r="J9" s="860">
        <f>B9*(12)</f>
        <v>27000</v>
      </c>
    </row>
    <row r="10" spans="1:13" ht="18" customHeight="1">
      <c r="A10" s="1511"/>
      <c r="B10" s="1512"/>
      <c r="C10" s="1512"/>
      <c r="D10" s="1512"/>
      <c r="E10" s="1512"/>
      <c r="F10" s="1512"/>
      <c r="G10" s="1512"/>
      <c r="H10" s="1512"/>
      <c r="I10" s="1512"/>
      <c r="J10" s="1513"/>
    </row>
    <row r="11" spans="1:13" ht="15.05">
      <c r="A11" s="1514" t="s">
        <v>14</v>
      </c>
      <c r="B11" s="1515"/>
      <c r="C11" s="238" t="s">
        <v>15</v>
      </c>
      <c r="D11" s="861"/>
      <c r="E11" s="1520" t="s">
        <v>16</v>
      </c>
      <c r="F11" s="1521"/>
      <c r="G11" s="1521"/>
      <c r="H11" s="1521"/>
      <c r="I11" s="1522"/>
      <c r="J11" s="862"/>
    </row>
    <row r="12" spans="1:13" ht="15.75">
      <c r="A12" s="1516" t="s">
        <v>17</v>
      </c>
      <c r="B12" s="1517"/>
      <c r="C12" s="801">
        <v>0</v>
      </c>
      <c r="D12" s="863" t="s">
        <v>18</v>
      </c>
      <c r="E12" s="1518"/>
      <c r="F12" s="1519"/>
      <c r="G12" s="1519"/>
      <c r="H12" s="1519"/>
      <c r="I12" s="1519"/>
      <c r="J12" s="864">
        <f>C12*(12)</f>
        <v>0</v>
      </c>
    </row>
    <row r="13" spans="1:13" ht="15.75">
      <c r="A13" s="1516" t="s">
        <v>17</v>
      </c>
      <c r="B13" s="1517"/>
      <c r="C13" s="801">
        <v>0</v>
      </c>
      <c r="D13" s="863" t="s">
        <v>18</v>
      </c>
      <c r="E13" s="1519"/>
      <c r="F13" s="1519"/>
      <c r="G13" s="1519"/>
      <c r="H13" s="1519"/>
      <c r="I13" s="1519"/>
      <c r="J13" s="864">
        <f t="shared" ref="J13:J18" si="0">C13*(12)</f>
        <v>0</v>
      </c>
    </row>
    <row r="14" spans="1:13" ht="15.75">
      <c r="A14" s="1516" t="s">
        <v>17</v>
      </c>
      <c r="B14" s="1517"/>
      <c r="C14" s="801">
        <v>0</v>
      </c>
      <c r="D14" s="863" t="s">
        <v>18</v>
      </c>
      <c r="E14" s="1519"/>
      <c r="F14" s="1519"/>
      <c r="G14" s="1519"/>
      <c r="H14" s="1519"/>
      <c r="I14" s="1519"/>
      <c r="J14" s="864">
        <f t="shared" si="0"/>
        <v>0</v>
      </c>
    </row>
    <row r="15" spans="1:13" ht="15.75">
      <c r="A15" s="1516" t="s">
        <v>17</v>
      </c>
      <c r="B15" s="1517"/>
      <c r="C15" s="801">
        <v>0</v>
      </c>
      <c r="D15" s="863" t="s">
        <v>18</v>
      </c>
      <c r="E15" s="1519"/>
      <c r="F15" s="1519"/>
      <c r="G15" s="1519"/>
      <c r="H15" s="1519"/>
      <c r="I15" s="1519"/>
      <c r="J15" s="864">
        <f t="shared" si="0"/>
        <v>0</v>
      </c>
    </row>
    <row r="16" spans="1:13" ht="15.75">
      <c r="A16" s="1516" t="s">
        <v>19</v>
      </c>
      <c r="B16" s="1517"/>
      <c r="C16" s="801">
        <v>0</v>
      </c>
      <c r="D16" s="863" t="s">
        <v>18</v>
      </c>
      <c r="E16" s="1518"/>
      <c r="F16" s="1519"/>
      <c r="G16" s="1519"/>
      <c r="H16" s="1519"/>
      <c r="I16" s="1519"/>
      <c r="J16" s="864">
        <f t="shared" si="0"/>
        <v>0</v>
      </c>
    </row>
    <row r="17" spans="1:10" ht="15.75">
      <c r="A17" s="1516" t="s">
        <v>19</v>
      </c>
      <c r="B17" s="1517"/>
      <c r="C17" s="801">
        <v>0</v>
      </c>
      <c r="D17" s="863" t="s">
        <v>18</v>
      </c>
      <c r="E17" s="1519"/>
      <c r="F17" s="1519"/>
      <c r="G17" s="1519"/>
      <c r="H17" s="1519"/>
      <c r="I17" s="1519"/>
      <c r="J17" s="864">
        <f t="shared" si="0"/>
        <v>0</v>
      </c>
    </row>
    <row r="18" spans="1:10" ht="15.75">
      <c r="A18" s="1516" t="s">
        <v>19</v>
      </c>
      <c r="B18" s="1517"/>
      <c r="C18" s="791">
        <v>0</v>
      </c>
      <c r="D18" s="863" t="s">
        <v>18</v>
      </c>
      <c r="E18" s="1519"/>
      <c r="F18" s="1519"/>
      <c r="G18" s="1519"/>
      <c r="H18" s="1519"/>
      <c r="I18" s="1519"/>
      <c r="J18" s="864">
        <f t="shared" si="0"/>
        <v>0</v>
      </c>
    </row>
    <row r="19" spans="1:10" ht="15.05">
      <c r="A19" s="865"/>
      <c r="B19" s="866"/>
      <c r="C19" s="238" t="s">
        <v>15</v>
      </c>
      <c r="D19" s="861"/>
      <c r="E19" s="421"/>
      <c r="F19" s="421"/>
      <c r="G19" s="421"/>
      <c r="H19" s="421"/>
      <c r="I19" s="421"/>
      <c r="J19" s="867"/>
    </row>
    <row r="20" spans="1:10" ht="15.75">
      <c r="A20" s="1516" t="s">
        <v>17</v>
      </c>
      <c r="B20" s="1517"/>
      <c r="C20" s="801">
        <v>0</v>
      </c>
      <c r="D20" s="863" t="s">
        <v>18</v>
      </c>
      <c r="E20" s="1523"/>
      <c r="F20" s="1519"/>
      <c r="G20" s="1519"/>
      <c r="H20" s="1519"/>
      <c r="I20" s="1519"/>
      <c r="J20" s="864">
        <f>C20*(12)</f>
        <v>0</v>
      </c>
    </row>
    <row r="21" spans="1:10" ht="15.75">
      <c r="A21" s="1516" t="s">
        <v>17</v>
      </c>
      <c r="B21" s="1517"/>
      <c r="C21" s="801">
        <v>0</v>
      </c>
      <c r="D21" s="863" t="s">
        <v>18</v>
      </c>
      <c r="E21" s="1518"/>
      <c r="F21" s="1518"/>
      <c r="G21" s="1518"/>
      <c r="H21" s="1518"/>
      <c r="I21" s="1518"/>
      <c r="J21" s="864">
        <f t="shared" ref="J21:J26" si="1">C21*(12)</f>
        <v>0</v>
      </c>
    </row>
    <row r="22" spans="1:10" ht="15.75">
      <c r="A22" s="1516" t="s">
        <v>17</v>
      </c>
      <c r="B22" s="1517"/>
      <c r="C22" s="801">
        <v>0</v>
      </c>
      <c r="D22" s="863" t="s">
        <v>18</v>
      </c>
      <c r="E22" s="1519"/>
      <c r="F22" s="1519"/>
      <c r="G22" s="1519"/>
      <c r="H22" s="1519"/>
      <c r="I22" s="1519"/>
      <c r="J22" s="864">
        <f t="shared" si="1"/>
        <v>0</v>
      </c>
    </row>
    <row r="23" spans="1:10" ht="15.75">
      <c r="A23" s="1516" t="s">
        <v>19</v>
      </c>
      <c r="B23" s="1517"/>
      <c r="C23" s="801">
        <v>0</v>
      </c>
      <c r="D23" s="863" t="s">
        <v>18</v>
      </c>
      <c r="E23" s="1519"/>
      <c r="F23" s="1519"/>
      <c r="G23" s="1519"/>
      <c r="H23" s="1519"/>
      <c r="I23" s="1519"/>
      <c r="J23" s="864">
        <f t="shared" si="1"/>
        <v>0</v>
      </c>
    </row>
    <row r="24" spans="1:10" ht="15.75">
      <c r="A24" s="1516" t="s">
        <v>19</v>
      </c>
      <c r="B24" s="1517"/>
      <c r="C24" s="801">
        <v>0</v>
      </c>
      <c r="D24" s="863" t="s">
        <v>18</v>
      </c>
      <c r="E24" s="1519"/>
      <c r="F24" s="1519"/>
      <c r="G24" s="1519"/>
      <c r="H24" s="1519"/>
      <c r="I24" s="1519"/>
      <c r="J24" s="864">
        <f t="shared" si="1"/>
        <v>0</v>
      </c>
    </row>
    <row r="25" spans="1:10" ht="15.75">
      <c r="A25" s="1516" t="s">
        <v>19</v>
      </c>
      <c r="B25" s="1517"/>
      <c r="C25" s="801">
        <v>0</v>
      </c>
      <c r="D25" s="863" t="s">
        <v>18</v>
      </c>
      <c r="E25" s="1519"/>
      <c r="F25" s="1519"/>
      <c r="G25" s="1519"/>
      <c r="H25" s="1519"/>
      <c r="I25" s="1519"/>
      <c r="J25" s="864">
        <f t="shared" si="1"/>
        <v>0</v>
      </c>
    </row>
    <row r="26" spans="1:10" ht="15.75">
      <c r="A26" s="1528" t="s">
        <v>19</v>
      </c>
      <c r="B26" s="1528"/>
      <c r="C26" s="868">
        <v>0</v>
      </c>
      <c r="D26" s="863" t="s">
        <v>18</v>
      </c>
      <c r="E26" s="1519"/>
      <c r="F26" s="1519"/>
      <c r="G26" s="1519"/>
      <c r="H26" s="1519"/>
      <c r="I26" s="1519"/>
      <c r="J26" s="864">
        <f t="shared" si="1"/>
        <v>0</v>
      </c>
    </row>
    <row r="27" spans="1:10" ht="15.05">
      <c r="A27" s="1529"/>
      <c r="B27" s="1529"/>
      <c r="C27" s="1529"/>
      <c r="D27" s="1529"/>
      <c r="E27" s="1529"/>
      <c r="F27" s="1529"/>
      <c r="G27" s="1529"/>
      <c r="H27" s="1529"/>
      <c r="I27" s="1529"/>
      <c r="J27" s="869" t="s">
        <v>20</v>
      </c>
    </row>
    <row r="28" spans="1:10" ht="25.55">
      <c r="A28" s="1530" t="s">
        <v>21</v>
      </c>
      <c r="B28" s="1530"/>
      <c r="C28" s="1530"/>
      <c r="D28" s="1530"/>
      <c r="E28" s="1530"/>
      <c r="F28" s="1530"/>
      <c r="G28" s="1530"/>
      <c r="H28" s="1530"/>
      <c r="I28" s="1530"/>
      <c r="J28" s="870">
        <f>J9+J10+J12+J13+J14+J15+J16+J17+J18+J19+J20+J21+J22+J23+J24+J25+J26</f>
        <v>27000</v>
      </c>
    </row>
    <row r="29" spans="1:10" ht="25.55">
      <c r="A29" s="871"/>
      <c r="B29" s="1530" t="s">
        <v>22</v>
      </c>
      <c r="C29" s="1530"/>
      <c r="D29" s="1530"/>
      <c r="E29" s="1530"/>
      <c r="F29" s="1530"/>
      <c r="G29" s="1530"/>
      <c r="H29" s="1530"/>
      <c r="I29" s="1530"/>
      <c r="J29" s="809">
        <f>J28-J5</f>
        <v>-10500</v>
      </c>
    </row>
    <row r="30" spans="1:10">
      <c r="A30" s="156"/>
      <c r="B30" s="156"/>
      <c r="C30" s="156"/>
      <c r="D30" s="156"/>
      <c r="E30" s="156"/>
      <c r="F30" s="156"/>
      <c r="G30" s="156"/>
      <c r="H30" s="156"/>
      <c r="I30" s="156"/>
      <c r="J30" s="156"/>
    </row>
    <row r="31" spans="1:10" ht="17.7">
      <c r="A31" s="1531" t="s">
        <v>23</v>
      </c>
      <c r="B31" s="1531"/>
      <c r="C31" s="1531"/>
      <c r="D31" s="1531"/>
      <c r="E31" s="1531"/>
      <c r="F31" s="1531"/>
      <c r="G31" s="1531"/>
      <c r="H31" s="1531"/>
      <c r="I31" s="1531"/>
      <c r="J31" s="872"/>
    </row>
    <row r="32" spans="1:10" ht="13.1">
      <c r="A32" s="815"/>
      <c r="B32" s="815"/>
      <c r="C32" s="815"/>
      <c r="D32" s="815"/>
      <c r="E32" s="815"/>
      <c r="F32" s="815"/>
      <c r="G32" s="815"/>
      <c r="H32" s="815"/>
      <c r="I32" s="815"/>
      <c r="J32" s="815"/>
    </row>
    <row r="33" spans="1:10" ht="20.3">
      <c r="A33" s="873"/>
      <c r="B33" s="874"/>
      <c r="C33" s="874"/>
      <c r="D33" s="874"/>
      <c r="E33" s="874"/>
      <c r="F33" s="874"/>
      <c r="G33" s="874"/>
      <c r="H33" s="874"/>
      <c r="I33" s="874"/>
      <c r="J33" s="874"/>
    </row>
    <row r="34" spans="1:10" ht="17.7">
      <c r="A34" s="875"/>
      <c r="B34" s="156"/>
      <c r="C34" s="156"/>
      <c r="D34" s="156"/>
      <c r="E34" s="156"/>
      <c r="F34" s="600"/>
      <c r="G34" s="600"/>
      <c r="H34" s="600"/>
      <c r="I34" s="600"/>
      <c r="J34" s="839"/>
    </row>
    <row r="35" spans="1:10" ht="15.05">
      <c r="A35" s="1524"/>
      <c r="B35" s="1524"/>
      <c r="C35" s="1524"/>
      <c r="D35" s="1524"/>
      <c r="E35" s="156"/>
      <c r="F35" s="156"/>
      <c r="G35" s="156"/>
      <c r="H35" s="156"/>
      <c r="I35" s="156"/>
      <c r="J35" s="876"/>
    </row>
    <row r="36" spans="1:10" ht="13.1">
      <c r="A36" s="75"/>
      <c r="B36" s="75"/>
      <c r="C36" s="75"/>
      <c r="D36" s="75"/>
      <c r="E36" s="75"/>
      <c r="F36" s="75"/>
      <c r="G36" s="75"/>
      <c r="H36" s="75"/>
      <c r="I36" s="75"/>
      <c r="J36" s="411"/>
    </row>
    <row r="37" spans="1:10" ht="17.7">
      <c r="A37" s="1525"/>
      <c r="B37" s="1525"/>
      <c r="C37" s="1525"/>
      <c r="D37" s="1525"/>
      <c r="E37" s="1526"/>
      <c r="F37" s="1527"/>
      <c r="G37" s="1527"/>
      <c r="H37" s="841"/>
      <c r="I37" s="184"/>
      <c r="J37" s="419"/>
    </row>
    <row r="38" spans="1:10">
      <c r="A38" s="75"/>
      <c r="B38" s="75"/>
      <c r="C38" s="75"/>
      <c r="D38" s="75"/>
      <c r="E38" s="75"/>
      <c r="F38" s="75"/>
      <c r="G38" s="75"/>
      <c r="H38" s="75"/>
      <c r="I38" s="75"/>
      <c r="J38" s="75"/>
    </row>
    <row r="39" spans="1:10" ht="15.05">
      <c r="A39" s="1525"/>
      <c r="B39" s="1525"/>
      <c r="C39" s="1525"/>
      <c r="D39" s="1525"/>
      <c r="E39" s="75"/>
      <c r="F39" s="75"/>
      <c r="G39" s="75"/>
      <c r="H39" s="75"/>
      <c r="I39" s="75"/>
      <c r="J39" s="420"/>
    </row>
    <row r="40" spans="1:10">
      <c r="A40" s="75"/>
      <c r="B40" s="75"/>
      <c r="C40" s="75"/>
      <c r="D40" s="75"/>
      <c r="E40" s="75"/>
      <c r="F40" s="75"/>
      <c r="G40" s="75"/>
      <c r="H40" s="75"/>
      <c r="I40" s="75"/>
      <c r="J40" s="75"/>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sheetData>
  <mergeCells count="47">
    <mergeCell ref="A35:D35"/>
    <mergeCell ref="A37:D37"/>
    <mergeCell ref="E37:G37"/>
    <mergeCell ref="A39:D39"/>
    <mergeCell ref="A26:B26"/>
    <mergeCell ref="E26:I26"/>
    <mergeCell ref="A27:I27"/>
    <mergeCell ref="A28:I28"/>
    <mergeCell ref="B29:I29"/>
    <mergeCell ref="A31:I31"/>
    <mergeCell ref="A23:B23"/>
    <mergeCell ref="E23:I23"/>
    <mergeCell ref="A24:B24"/>
    <mergeCell ref="E24:I24"/>
    <mergeCell ref="A25:B25"/>
    <mergeCell ref="E25:I25"/>
    <mergeCell ref="A20:B20"/>
    <mergeCell ref="E20:I20"/>
    <mergeCell ref="A21:B21"/>
    <mergeCell ref="E21:I21"/>
    <mergeCell ref="A22:B22"/>
    <mergeCell ref="E22:I22"/>
    <mergeCell ref="A16:B16"/>
    <mergeCell ref="E16:I16"/>
    <mergeCell ref="A17:B17"/>
    <mergeCell ref="E17:I17"/>
    <mergeCell ref="A18:B18"/>
    <mergeCell ref="E18:I18"/>
    <mergeCell ref="A13:B13"/>
    <mergeCell ref="E13:I13"/>
    <mergeCell ref="A14:B14"/>
    <mergeCell ref="E14:I14"/>
    <mergeCell ref="A15:B15"/>
    <mergeCell ref="E15:I15"/>
    <mergeCell ref="A8:J8"/>
    <mergeCell ref="F9:I9"/>
    <mergeCell ref="A10:J10"/>
    <mergeCell ref="A11:B11"/>
    <mergeCell ref="A12:B12"/>
    <mergeCell ref="E12:I12"/>
    <mergeCell ref="E11:I11"/>
    <mergeCell ref="A7:J7"/>
    <mergeCell ref="D1:I1"/>
    <mergeCell ref="A3:D3"/>
    <mergeCell ref="A4:D4"/>
    <mergeCell ref="A5:D5"/>
    <mergeCell ref="A6:J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M63"/>
  <sheetViews>
    <sheetView showGridLines="0" workbookViewId="0"/>
  </sheetViews>
  <sheetFormatPr defaultRowHeight="12.45"/>
  <cols>
    <col min="3" max="3" width="12.875" customWidth="1"/>
    <col min="4" max="5" width="15.25" customWidth="1"/>
    <col min="6" max="6" width="12.125" customWidth="1"/>
    <col min="7" max="7" width="11.125" customWidth="1"/>
    <col min="8" max="8" width="20.125" customWidth="1"/>
    <col min="9" max="9" width="10.75" customWidth="1"/>
    <col min="11" max="11" width="16.25" customWidth="1"/>
  </cols>
  <sheetData>
    <row r="1" spans="1:13" ht="13.1">
      <c r="A1" s="1614" t="s">
        <v>198</v>
      </c>
      <c r="B1" s="1614"/>
      <c r="C1" s="1614"/>
      <c r="D1" s="1614"/>
      <c r="E1" s="1614"/>
      <c r="F1" s="1614"/>
      <c r="G1" s="1614"/>
      <c r="H1" s="1614"/>
      <c r="I1" s="1614"/>
      <c r="J1" s="1614"/>
      <c r="K1" s="1614"/>
    </row>
    <row r="2" spans="1:13" ht="13.1">
      <c r="A2" s="1613" t="s">
        <v>199</v>
      </c>
      <c r="B2" s="1613"/>
      <c r="C2" s="1082" t="s">
        <v>200</v>
      </c>
      <c r="D2" s="1082" t="s">
        <v>201</v>
      </c>
      <c r="E2" s="1082" t="s">
        <v>202</v>
      </c>
      <c r="F2" s="1083"/>
      <c r="G2" s="1082"/>
      <c r="H2" s="1082" t="s">
        <v>203</v>
      </c>
      <c r="I2" s="1082" t="s">
        <v>204</v>
      </c>
      <c r="J2" s="1084"/>
      <c r="K2" s="1082" t="s">
        <v>205</v>
      </c>
      <c r="M2" s="192"/>
    </row>
    <row r="3" spans="1:13" ht="13.1">
      <c r="A3" s="1611">
        <v>100000</v>
      </c>
      <c r="B3" s="1612"/>
      <c r="D3" s="192"/>
      <c r="E3" s="1079">
        <v>0.02</v>
      </c>
      <c r="G3" s="192"/>
      <c r="H3" s="1079">
        <v>0.1</v>
      </c>
      <c r="I3" s="192"/>
      <c r="K3" s="192"/>
      <c r="M3" s="192"/>
    </row>
    <row r="4" spans="1:13" ht="13.1">
      <c r="D4" s="192"/>
      <c r="E4" s="1080"/>
      <c r="G4" s="192"/>
      <c r="H4" s="1080"/>
      <c r="I4" s="192"/>
      <c r="K4" s="192"/>
      <c r="M4" s="192"/>
    </row>
    <row r="5" spans="1:13">
      <c r="C5" s="1074">
        <v>1</v>
      </c>
      <c r="D5" s="1075">
        <f>A3</f>
        <v>100000</v>
      </c>
      <c r="E5" s="1078">
        <f>E3</f>
        <v>0.02</v>
      </c>
      <c r="F5" s="1">
        <f>D5*E3</f>
        <v>2000</v>
      </c>
      <c r="G5" s="1">
        <f>D5+F5</f>
        <v>102000</v>
      </c>
      <c r="H5" s="1077">
        <f>H3</f>
        <v>0.1</v>
      </c>
      <c r="I5" s="1075">
        <f>G5*H5</f>
        <v>10200</v>
      </c>
      <c r="K5" s="1076">
        <f>G5-I5</f>
        <v>91800</v>
      </c>
    </row>
    <row r="7" spans="1:13">
      <c r="C7" s="1074">
        <v>2</v>
      </c>
      <c r="D7" s="1076">
        <f>K5</f>
        <v>91800</v>
      </c>
      <c r="E7" s="1078">
        <f>E3</f>
        <v>0.02</v>
      </c>
      <c r="F7" s="1">
        <f>D7*E3</f>
        <v>1836</v>
      </c>
      <c r="G7" s="1">
        <f>D7+F7</f>
        <v>93636</v>
      </c>
      <c r="H7" s="1077">
        <f>H3</f>
        <v>0.1</v>
      </c>
      <c r="I7" s="1075">
        <f>G7*H7</f>
        <v>9363.6</v>
      </c>
      <c r="K7" s="1076">
        <f>D7-I7</f>
        <v>82436.399999999994</v>
      </c>
    </row>
    <row r="9" spans="1:13">
      <c r="C9" s="1074">
        <v>3</v>
      </c>
      <c r="D9" s="1076">
        <f>K7</f>
        <v>82436.399999999994</v>
      </c>
      <c r="E9" s="1077">
        <f>E3</f>
        <v>0.02</v>
      </c>
      <c r="F9" s="1">
        <f>D9*E3</f>
        <v>1648.7279999999998</v>
      </c>
      <c r="G9" s="1">
        <f>D9+F9</f>
        <v>84085.127999999997</v>
      </c>
      <c r="H9" s="1077">
        <f>H7</f>
        <v>0.1</v>
      </c>
      <c r="I9" s="1075">
        <f>G9*H9</f>
        <v>8408.5128000000004</v>
      </c>
      <c r="K9" s="1076">
        <f>D9-I9</f>
        <v>74027.887199999997</v>
      </c>
    </row>
    <row r="11" spans="1:13">
      <c r="C11" s="1074">
        <v>4</v>
      </c>
      <c r="D11" s="1076">
        <f>K9</f>
        <v>74027.887199999997</v>
      </c>
      <c r="E11" s="1077">
        <f>E3</f>
        <v>0.02</v>
      </c>
      <c r="F11" s="1">
        <f>D11*2%</f>
        <v>1480.557744</v>
      </c>
      <c r="G11" s="1">
        <f>D11+F11</f>
        <v>75508.444944000003</v>
      </c>
      <c r="H11" s="1077">
        <f>H9</f>
        <v>0.1</v>
      </c>
      <c r="I11" s="1075">
        <f>G11*H11</f>
        <v>7550.8444944000003</v>
      </c>
      <c r="K11" s="1076">
        <f>D11-I11</f>
        <v>66477.042705600004</v>
      </c>
    </row>
    <row r="13" spans="1:13">
      <c r="C13" s="1074">
        <v>5</v>
      </c>
      <c r="D13" s="1076">
        <f>K11</f>
        <v>66477.042705600004</v>
      </c>
      <c r="E13" s="1077">
        <f>E3</f>
        <v>0.02</v>
      </c>
      <c r="F13" s="1">
        <f>D13*E3</f>
        <v>1329.540854112</v>
      </c>
      <c r="G13" s="1">
        <f>D13+F13</f>
        <v>67806.583559712002</v>
      </c>
      <c r="H13" s="1077">
        <f>H11</f>
        <v>0.1</v>
      </c>
      <c r="I13" s="1075">
        <f>G13*H13</f>
        <v>6780.6583559712008</v>
      </c>
      <c r="K13" s="1076">
        <f>D13-I13</f>
        <v>59696.384349628803</v>
      </c>
    </row>
    <row r="15" spans="1:13">
      <c r="C15" s="1074">
        <v>6</v>
      </c>
      <c r="D15" s="1076">
        <f>K13</f>
        <v>59696.384349628803</v>
      </c>
      <c r="E15" s="1077">
        <f>E3</f>
        <v>0.02</v>
      </c>
      <c r="F15" s="1">
        <f>D15*E3</f>
        <v>1193.9276869925761</v>
      </c>
      <c r="G15" s="1">
        <f>D15+F15</f>
        <v>60890.312036621377</v>
      </c>
      <c r="H15" s="1077">
        <f>H13</f>
        <v>0.1</v>
      </c>
      <c r="I15" s="1075">
        <f>G15*H15</f>
        <v>6089.0312036621381</v>
      </c>
      <c r="K15" s="1076">
        <f>D15-I15</f>
        <v>53607.353145966663</v>
      </c>
    </row>
    <row r="17" spans="3:11">
      <c r="C17" s="1074">
        <v>7</v>
      </c>
      <c r="D17" s="1081">
        <f>K15</f>
        <v>53607.353145966663</v>
      </c>
      <c r="E17" s="1077">
        <f>E3</f>
        <v>0.02</v>
      </c>
      <c r="F17" s="1">
        <f>D17*E3</f>
        <v>1072.1470629193332</v>
      </c>
      <c r="G17" s="1">
        <f>D17+F17</f>
        <v>54679.500208885998</v>
      </c>
      <c r="H17" s="1077">
        <f>H15</f>
        <v>0.1</v>
      </c>
      <c r="I17" s="1075">
        <f>G17*H17</f>
        <v>5467.9500208886002</v>
      </c>
      <c r="K17" s="1076">
        <f>D17-I17</f>
        <v>48139.403125078061</v>
      </c>
    </row>
    <row r="19" spans="3:11">
      <c r="C19" s="1074">
        <v>8</v>
      </c>
      <c r="D19" s="1076">
        <f>K17</f>
        <v>48139.403125078061</v>
      </c>
      <c r="E19" s="1077">
        <f>E3</f>
        <v>0.02</v>
      </c>
      <c r="F19" s="1">
        <f>D19*E3</f>
        <v>962.78806250156128</v>
      </c>
      <c r="G19" s="1">
        <f>D19+F19</f>
        <v>49102.191187579621</v>
      </c>
      <c r="H19" s="1077">
        <f>H17</f>
        <v>0.1</v>
      </c>
      <c r="I19" s="1075">
        <f>G19*H19</f>
        <v>4910.219118757962</v>
      </c>
      <c r="K19" s="1076">
        <f>D19-I19</f>
        <v>43229.184006320102</v>
      </c>
    </row>
    <row r="21" spans="3:11">
      <c r="C21" s="1074">
        <v>9</v>
      </c>
      <c r="D21" s="1076">
        <f>K19</f>
        <v>43229.184006320102</v>
      </c>
      <c r="E21" s="1077">
        <f>E3</f>
        <v>0.02</v>
      </c>
      <c r="F21" s="1">
        <f>D21*E3</f>
        <v>864.5836801264021</v>
      </c>
      <c r="G21" s="1">
        <f>D21+F21</f>
        <v>44093.767686446503</v>
      </c>
      <c r="H21" s="1077">
        <f>H19</f>
        <v>0.1</v>
      </c>
      <c r="I21" s="1075">
        <f>G21*H21</f>
        <v>4409.3767686446508</v>
      </c>
      <c r="K21" s="1076">
        <f>D21-I21</f>
        <v>38819.80723767545</v>
      </c>
    </row>
    <row r="23" spans="3:11">
      <c r="C23" s="1074">
        <v>10</v>
      </c>
      <c r="D23" s="1076">
        <f>K21</f>
        <v>38819.80723767545</v>
      </c>
      <c r="E23" s="1077">
        <f>E3</f>
        <v>0.02</v>
      </c>
      <c r="F23" s="1">
        <f>D23*E3</f>
        <v>776.39614475350902</v>
      </c>
      <c r="G23" s="1">
        <f>D23+F23</f>
        <v>39596.203382428961</v>
      </c>
      <c r="H23" s="1077">
        <f>H21</f>
        <v>0.1</v>
      </c>
      <c r="I23" s="1075">
        <f>G23*H23</f>
        <v>3959.6203382428962</v>
      </c>
      <c r="K23" s="1076">
        <f>D23-I23</f>
        <v>34860.186899432556</v>
      </c>
    </row>
    <row r="25" spans="3:11">
      <c r="C25" s="1074">
        <v>11</v>
      </c>
      <c r="D25" s="1076">
        <f>K23</f>
        <v>34860.186899432556</v>
      </c>
      <c r="E25" s="1077">
        <f>E3</f>
        <v>0.02</v>
      </c>
      <c r="F25" s="1">
        <f>D25*E3</f>
        <v>697.20373798865114</v>
      </c>
      <c r="G25" s="1">
        <f>D25+F25</f>
        <v>35557.390637421209</v>
      </c>
      <c r="H25" s="1077">
        <f>H23</f>
        <v>0.1</v>
      </c>
      <c r="I25" s="1075">
        <f>G25*H25</f>
        <v>3555.7390637421213</v>
      </c>
      <c r="K25" s="1076">
        <f>D25-I25</f>
        <v>31304.447835690436</v>
      </c>
    </row>
    <row r="27" spans="3:11">
      <c r="C27" s="1074">
        <v>12</v>
      </c>
      <c r="D27" s="1076">
        <f>K25</f>
        <v>31304.447835690436</v>
      </c>
      <c r="E27" s="1077">
        <f>E3</f>
        <v>0.02</v>
      </c>
      <c r="F27" s="1">
        <f>D27*E3</f>
        <v>626.08895671380878</v>
      </c>
      <c r="G27" s="1">
        <f>D27+F27</f>
        <v>31930.536792404244</v>
      </c>
      <c r="H27" s="1077">
        <f>H25</f>
        <v>0.1</v>
      </c>
      <c r="I27" s="1075">
        <f>G27*H27</f>
        <v>3193.0536792404246</v>
      </c>
      <c r="K27" s="1076">
        <f>D27-I27</f>
        <v>28111.394156450013</v>
      </c>
    </row>
    <row r="29" spans="3:11">
      <c r="C29" s="1074">
        <v>13</v>
      </c>
      <c r="D29" s="1076">
        <f>K27</f>
        <v>28111.394156450013</v>
      </c>
      <c r="E29" s="1077">
        <f>E3</f>
        <v>0.02</v>
      </c>
      <c r="F29" s="1">
        <f>D29*E3</f>
        <v>562.22788312900025</v>
      </c>
      <c r="G29" s="1">
        <f>D29+F29</f>
        <v>28673.622039579011</v>
      </c>
      <c r="H29" s="1077">
        <f>H27</f>
        <v>0.1</v>
      </c>
      <c r="I29" s="1075">
        <f>G29*H29</f>
        <v>2867.3622039579013</v>
      </c>
      <c r="K29" s="1076">
        <f>D29-I29</f>
        <v>25244.031952492111</v>
      </c>
    </row>
    <row r="31" spans="3:11">
      <c r="C31" s="1074">
        <v>14</v>
      </c>
      <c r="D31" s="1076">
        <f>K29</f>
        <v>25244.031952492111</v>
      </c>
      <c r="E31" s="1077">
        <f>E3</f>
        <v>0.02</v>
      </c>
      <c r="F31" s="1">
        <f>D31*E3</f>
        <v>504.88063904984222</v>
      </c>
      <c r="G31" s="1">
        <f>D31+F31</f>
        <v>25748.912591541954</v>
      </c>
      <c r="H31" s="1077">
        <f>H29</f>
        <v>0.1</v>
      </c>
      <c r="I31" s="1075">
        <f>G31*H31</f>
        <v>2574.8912591541957</v>
      </c>
      <c r="K31" s="1076">
        <f>D31-I31</f>
        <v>22669.140693337915</v>
      </c>
    </row>
    <row r="33" spans="3:11">
      <c r="C33" s="1074">
        <v>15</v>
      </c>
      <c r="D33" s="1076">
        <f>K31</f>
        <v>22669.140693337915</v>
      </c>
      <c r="E33" s="1077">
        <f>E3</f>
        <v>0.02</v>
      </c>
      <c r="F33" s="1">
        <f>D33*E3</f>
        <v>453.38281386675828</v>
      </c>
      <c r="G33" s="1">
        <f>D33+F33</f>
        <v>23122.523507204674</v>
      </c>
      <c r="H33" s="1077">
        <f>H31</f>
        <v>0.1</v>
      </c>
      <c r="I33" s="1075">
        <f>G33*H33</f>
        <v>2312.2523507204673</v>
      </c>
      <c r="K33" s="1076">
        <f>D33-I33</f>
        <v>20356.888342617447</v>
      </c>
    </row>
    <row r="35" spans="3:11">
      <c r="C35" s="1074">
        <v>16</v>
      </c>
      <c r="D35" s="1076">
        <f>K33</f>
        <v>20356.888342617447</v>
      </c>
      <c r="E35" s="1077">
        <f>E3</f>
        <v>0.02</v>
      </c>
      <c r="F35" s="1">
        <f>D35*E3</f>
        <v>407.13776685234893</v>
      </c>
      <c r="G35" s="1">
        <f>D35+F35</f>
        <v>20764.026109469796</v>
      </c>
      <c r="H35" s="1077">
        <f>H33</f>
        <v>0.1</v>
      </c>
      <c r="I35" s="1075">
        <f>G35*H35</f>
        <v>2076.4026109469796</v>
      </c>
      <c r="K35" s="1076">
        <f>D35-I35</f>
        <v>18280.485731670466</v>
      </c>
    </row>
    <row r="37" spans="3:11">
      <c r="C37" s="1074">
        <v>17</v>
      </c>
      <c r="D37" s="1076">
        <f>K35</f>
        <v>18280.485731670466</v>
      </c>
      <c r="E37" s="1077">
        <f>E3</f>
        <v>0.02</v>
      </c>
      <c r="F37" s="1">
        <f>D37*E3</f>
        <v>365.60971463340934</v>
      </c>
      <c r="G37" s="1">
        <f>D37+F37</f>
        <v>18646.095446303876</v>
      </c>
      <c r="H37" s="1077">
        <f>H35</f>
        <v>0.1</v>
      </c>
      <c r="I37" s="1075">
        <f>G37*H37</f>
        <v>1864.6095446303877</v>
      </c>
      <c r="K37" s="1076">
        <f>D37-I37</f>
        <v>16415.876187040078</v>
      </c>
    </row>
    <row r="39" spans="3:11">
      <c r="C39" s="1074">
        <v>18</v>
      </c>
      <c r="D39" s="1076">
        <f>K37</f>
        <v>16415.876187040078</v>
      </c>
      <c r="E39" s="1077">
        <f>E3</f>
        <v>0.02</v>
      </c>
      <c r="F39" s="1">
        <f>D39*E3</f>
        <v>328.31752374080156</v>
      </c>
      <c r="G39" s="1">
        <f>D39+F39</f>
        <v>16744.193710780881</v>
      </c>
      <c r="H39" s="1077">
        <f>H37</f>
        <v>0.1</v>
      </c>
      <c r="I39" s="1075">
        <f>G39*H39</f>
        <v>1674.4193710780883</v>
      </c>
      <c r="K39" s="1076">
        <f>D39-I39</f>
        <v>14741.456815961988</v>
      </c>
    </row>
    <row r="41" spans="3:11">
      <c r="C41" s="1074">
        <v>19</v>
      </c>
      <c r="D41" s="1076">
        <f>K39</f>
        <v>14741.456815961988</v>
      </c>
      <c r="E41" s="1077">
        <f>E3</f>
        <v>0.02</v>
      </c>
      <c r="F41" s="1">
        <f>D41*E3</f>
        <v>294.82913631923975</v>
      </c>
      <c r="G41" s="1">
        <f>D41+F41</f>
        <v>15036.285952281229</v>
      </c>
      <c r="H41" s="1077">
        <f>H39</f>
        <v>0.1</v>
      </c>
      <c r="I41" s="1075">
        <f>G41*H41</f>
        <v>1503.628595228123</v>
      </c>
      <c r="K41" s="1076">
        <f>D41-I41</f>
        <v>13237.828220733865</v>
      </c>
    </row>
    <row r="43" spans="3:11">
      <c r="C43" s="1074">
        <v>20</v>
      </c>
      <c r="D43" s="1076">
        <f>K41</f>
        <v>13237.828220733865</v>
      </c>
      <c r="E43" s="1077">
        <f>E3</f>
        <v>0.02</v>
      </c>
      <c r="F43" s="1">
        <f>D43*E3</f>
        <v>264.75656441467731</v>
      </c>
      <c r="G43" s="1">
        <f>D43+F43</f>
        <v>13502.584785148543</v>
      </c>
      <c r="H43" s="1077">
        <f>H41</f>
        <v>0.1</v>
      </c>
      <c r="I43" s="1075">
        <f>G43*H43</f>
        <v>1350.2584785148545</v>
      </c>
      <c r="K43" s="1076">
        <f>D43-I43</f>
        <v>11887.569742219011</v>
      </c>
    </row>
    <row r="45" spans="3:11">
      <c r="C45" s="1074">
        <v>21</v>
      </c>
      <c r="D45" s="1076">
        <f>K43</f>
        <v>11887.569742219011</v>
      </c>
      <c r="E45" s="1077">
        <f>E5</f>
        <v>0.02</v>
      </c>
      <c r="F45" s="1">
        <f>D45*E5</f>
        <v>237.75139484438023</v>
      </c>
      <c r="G45" s="1">
        <f>D45+F45</f>
        <v>12125.321137063391</v>
      </c>
      <c r="H45" s="1077">
        <f>H43</f>
        <v>0.1</v>
      </c>
      <c r="I45" s="1075">
        <f>G45*H45</f>
        <v>1212.532113706339</v>
      </c>
      <c r="K45" s="1076">
        <f>D45-I45</f>
        <v>10675.037628512673</v>
      </c>
    </row>
    <row r="47" spans="3:11">
      <c r="C47" s="1074">
        <v>22</v>
      </c>
      <c r="D47" s="1076">
        <f>K45</f>
        <v>10675.037628512673</v>
      </c>
      <c r="E47" s="1077">
        <f>E7</f>
        <v>0.02</v>
      </c>
      <c r="F47" s="1">
        <f>D47*E7</f>
        <v>213.50075257025347</v>
      </c>
      <c r="G47" s="1">
        <f>D47+F47</f>
        <v>10888.538381082926</v>
      </c>
      <c r="H47" s="1077">
        <f>H45</f>
        <v>0.1</v>
      </c>
      <c r="I47" s="1075">
        <f>G47*H47</f>
        <v>1088.8538381082926</v>
      </c>
      <c r="K47" s="1076">
        <f>D47-I47</f>
        <v>9586.1837904043805</v>
      </c>
    </row>
    <row r="49" spans="3:11">
      <c r="C49" s="1074">
        <v>23</v>
      </c>
      <c r="D49" s="1076">
        <f>K47</f>
        <v>9586.1837904043805</v>
      </c>
      <c r="E49" s="1077">
        <f>E9</f>
        <v>0.02</v>
      </c>
      <c r="F49" s="1">
        <f>D49*E9</f>
        <v>191.72367580808762</v>
      </c>
      <c r="G49" s="1">
        <f>D49+F49</f>
        <v>9777.9074662124676</v>
      </c>
      <c r="H49" s="1077">
        <f>H47</f>
        <v>0.1</v>
      </c>
      <c r="I49" s="1075">
        <f>G49*H49</f>
        <v>977.79074662124685</v>
      </c>
      <c r="K49" s="1076">
        <f>D49-I49</f>
        <v>8608.3930437831332</v>
      </c>
    </row>
    <row r="51" spans="3:11">
      <c r="C51" s="1074">
        <v>24</v>
      </c>
      <c r="D51" s="1076">
        <f>K49</f>
        <v>8608.3930437831332</v>
      </c>
      <c r="E51" s="1077">
        <f>E11</f>
        <v>0.02</v>
      </c>
      <c r="F51" s="1">
        <f>D51*E11</f>
        <v>172.16786087566265</v>
      </c>
      <c r="G51" s="1">
        <f>D51+F51</f>
        <v>8780.5609046587961</v>
      </c>
      <c r="H51" s="1077">
        <f>H49</f>
        <v>0.1</v>
      </c>
      <c r="I51" s="1075">
        <f>G51*H51</f>
        <v>878.05609046587961</v>
      </c>
      <c r="K51" s="1076">
        <f>D51-I51</f>
        <v>7730.3369533172536</v>
      </c>
    </row>
    <row r="53" spans="3:11">
      <c r="C53" s="1074">
        <v>25</v>
      </c>
      <c r="D53" s="1076">
        <f>K51</f>
        <v>7730.3369533172536</v>
      </c>
      <c r="E53" s="1077">
        <f>E13</f>
        <v>0.02</v>
      </c>
      <c r="F53" s="1">
        <f>D53*E13</f>
        <v>154.60673906634509</v>
      </c>
      <c r="G53" s="1">
        <f>D53+F53</f>
        <v>7884.9436923835983</v>
      </c>
      <c r="H53" s="1077">
        <f>H51</f>
        <v>0.1</v>
      </c>
      <c r="I53" s="1075">
        <f>G53*H53</f>
        <v>788.49436923835992</v>
      </c>
      <c r="K53" s="1076">
        <f>D53-I53</f>
        <v>6941.8425840788932</v>
      </c>
    </row>
    <row r="55" spans="3:11">
      <c r="C55" s="1074">
        <v>26</v>
      </c>
      <c r="D55" s="1076">
        <f>K53</f>
        <v>6941.8425840788932</v>
      </c>
      <c r="E55" s="1077">
        <f>E15</f>
        <v>0.02</v>
      </c>
      <c r="F55" s="1">
        <f>D55*E15</f>
        <v>138.83685168157785</v>
      </c>
      <c r="G55" s="1">
        <f>D55+F55</f>
        <v>7080.6794357604713</v>
      </c>
      <c r="H55" s="1077">
        <f>H53</f>
        <v>0.1</v>
      </c>
      <c r="I55" s="1075">
        <f>G55*H55</f>
        <v>708.06794357604713</v>
      </c>
      <c r="K55" s="1076">
        <f>D55-I55</f>
        <v>6233.7746405028465</v>
      </c>
    </row>
    <row r="57" spans="3:11">
      <c r="C57" s="1074">
        <v>27</v>
      </c>
      <c r="D57" s="1076">
        <f>K55</f>
        <v>6233.7746405028465</v>
      </c>
      <c r="E57" s="1077">
        <f>E17</f>
        <v>0.02</v>
      </c>
      <c r="F57" s="1">
        <f>D57*E17</f>
        <v>124.67549281005694</v>
      </c>
      <c r="G57" s="1">
        <f>D57+F57</f>
        <v>6358.4501333129037</v>
      </c>
      <c r="H57" s="1077">
        <f>H55</f>
        <v>0.1</v>
      </c>
      <c r="I57" s="1075">
        <f>G57*H57</f>
        <v>635.84501333129037</v>
      </c>
      <c r="K57" s="1076">
        <f>D57-I57</f>
        <v>5597.9296271715557</v>
      </c>
    </row>
    <row r="59" spans="3:11">
      <c r="C59" s="1074">
        <v>28</v>
      </c>
      <c r="D59" s="1076">
        <f>K57</f>
        <v>5597.9296271715557</v>
      </c>
      <c r="E59" s="1077">
        <f>E19</f>
        <v>0.02</v>
      </c>
      <c r="F59" s="1">
        <f>D59*E19</f>
        <v>111.95859254343111</v>
      </c>
      <c r="G59" s="1">
        <f>D59+F59</f>
        <v>5709.8882197149869</v>
      </c>
      <c r="H59" s="1077">
        <f>H57</f>
        <v>0.1</v>
      </c>
      <c r="I59" s="1075">
        <f>G59*H59</f>
        <v>570.98882197149874</v>
      </c>
      <c r="K59" s="1076">
        <f>D59-I59</f>
        <v>5026.9408052000572</v>
      </c>
    </row>
    <row r="61" spans="3:11">
      <c r="C61" s="1074">
        <v>29</v>
      </c>
      <c r="D61" s="1076">
        <f>K59</f>
        <v>5026.9408052000572</v>
      </c>
      <c r="E61" s="1077">
        <f>E21</f>
        <v>0.02</v>
      </c>
      <c r="F61" s="1">
        <f>D61*E21</f>
        <v>100.53881610400114</v>
      </c>
      <c r="G61" s="1">
        <f>D61+F61</f>
        <v>5127.4796213040581</v>
      </c>
      <c r="H61" s="1077">
        <f>H59</f>
        <v>0.1</v>
      </c>
      <c r="I61" s="1075">
        <f>G61*H61</f>
        <v>512.74796213040588</v>
      </c>
      <c r="K61" s="1076">
        <f>D61-I61</f>
        <v>4514.1928430696516</v>
      </c>
    </row>
    <row r="63" spans="3:11">
      <c r="C63" s="1074">
        <v>30</v>
      </c>
      <c r="D63" s="1076">
        <f>K61</f>
        <v>4514.1928430696516</v>
      </c>
      <c r="E63" s="1077">
        <f>E23</f>
        <v>0.02</v>
      </c>
      <c r="F63" s="1">
        <f>D63*E23</f>
        <v>90.283856861393033</v>
      </c>
      <c r="G63" s="1">
        <f>D63+F63</f>
        <v>4604.476699931045</v>
      </c>
      <c r="H63" s="1077">
        <f>H61</f>
        <v>0.1</v>
      </c>
      <c r="I63" s="1075">
        <f>G63*H63</f>
        <v>460.44766999310451</v>
      </c>
      <c r="K63" s="1076">
        <f>D63-I63</f>
        <v>4053.745173076547</v>
      </c>
    </row>
  </sheetData>
  <mergeCells count="3">
    <mergeCell ref="A3:B3"/>
    <mergeCell ref="A2:B2"/>
    <mergeCell ref="A1:K1"/>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74" t="s">
        <v>713</v>
      </c>
      <c r="M1" s="2174"/>
      <c r="N1" s="437">
        <v>75000</v>
      </c>
    </row>
    <row r="2" spans="1:25" ht="20.3">
      <c r="A2" s="302"/>
      <c r="B2" s="304"/>
      <c r="C2" s="329"/>
      <c r="D2" s="330"/>
      <c r="E2" s="2175" t="str" cm="1">
        <f t="array" ref="E2:K2">'AS with changes'!E3:K3</f>
        <v>William C Ross and Catherine A Ross</v>
      </c>
      <c r="F2" s="2176">
        <v>0</v>
      </c>
      <c r="G2" s="2176">
        <v>0</v>
      </c>
      <c r="H2" s="2176">
        <v>0</v>
      </c>
      <c r="I2" s="2176">
        <v>0</v>
      </c>
      <c r="J2" s="2176">
        <v>0</v>
      </c>
      <c r="K2" s="2176">
        <v>0</v>
      </c>
      <c r="L2" s="313"/>
      <c r="M2" s="330"/>
      <c r="N2" s="310">
        <f>'AS with changes'!G1</f>
        <v>42677</v>
      </c>
    </row>
    <row r="3" spans="1:25" ht="24.05" customHeight="1">
      <c r="A3" s="302"/>
      <c r="B3" s="304"/>
      <c r="C3" s="2177" t="s">
        <v>803</v>
      </c>
      <c r="D3" s="2177"/>
      <c r="E3" s="2177"/>
      <c r="F3" s="2177"/>
      <c r="G3" s="2177"/>
      <c r="H3" s="2177"/>
      <c r="I3" s="2177"/>
      <c r="J3" s="2177"/>
      <c r="K3" s="2177"/>
      <c r="L3" s="2177"/>
      <c r="M3" s="2177"/>
      <c r="N3" s="312">
        <v>75000</v>
      </c>
    </row>
    <row r="4" spans="1:25" ht="19">
      <c r="A4" s="302"/>
      <c r="B4" s="304"/>
      <c r="C4" s="2178" t="s">
        <v>897</v>
      </c>
      <c r="D4" s="2179"/>
      <c r="E4" s="2179"/>
      <c r="F4" s="2179"/>
      <c r="G4" s="2179"/>
      <c r="H4" s="2179"/>
      <c r="I4" s="2179"/>
      <c r="J4" s="2179"/>
      <c r="K4" s="2179"/>
      <c r="L4" s="2179"/>
      <c r="M4" s="2179"/>
      <c r="N4" s="301"/>
    </row>
    <row r="5" spans="1:25" ht="15.05">
      <c r="A5" s="302"/>
      <c r="B5" s="304"/>
      <c r="C5" s="300"/>
      <c r="D5" s="2180" t="s">
        <v>882</v>
      </c>
      <c r="E5" s="2180"/>
      <c r="F5" s="2180"/>
      <c r="G5" s="2180"/>
      <c r="H5" s="2180"/>
      <c r="I5" s="2180"/>
      <c r="J5" s="2180"/>
      <c r="K5" s="2180"/>
      <c r="L5" s="2180"/>
      <c r="M5" s="331">
        <f>'AS with changes'!M4</f>
        <v>19109</v>
      </c>
      <c r="N5" s="335">
        <f>'AS with changes'!O4</f>
        <v>64</v>
      </c>
    </row>
    <row r="6" spans="1:25" ht="15.05">
      <c r="A6" s="302"/>
      <c r="B6" s="304"/>
      <c r="C6" s="300"/>
      <c r="D6" s="1515" t="s">
        <v>883</v>
      </c>
      <c r="E6" s="1515"/>
      <c r="F6" s="1515"/>
      <c r="G6" s="1515"/>
      <c r="H6" s="1515"/>
      <c r="I6" s="1515"/>
      <c r="J6" s="1515"/>
      <c r="K6" s="1515"/>
      <c r="L6" s="1515"/>
      <c r="M6" s="439">
        <f>'AS with changes'!M5</f>
        <v>20124</v>
      </c>
      <c r="N6" s="336">
        <f>'AS with changes'!O5</f>
        <v>61</v>
      </c>
    </row>
    <row r="7" spans="1:25">
      <c r="A7" s="305"/>
      <c r="B7" s="304"/>
      <c r="C7" s="300"/>
      <c r="D7" s="2181"/>
      <c r="E7" s="2181"/>
      <c r="F7" s="2181"/>
      <c r="G7" s="2181"/>
      <c r="H7" s="2181"/>
      <c r="I7" s="2181"/>
      <c r="J7" s="2181"/>
      <c r="K7" s="2181"/>
      <c r="L7" s="2181"/>
      <c r="M7" s="302"/>
      <c r="N7" s="303"/>
    </row>
    <row r="8" spans="1:25" s="37" customFormat="1" ht="100" customHeight="1">
      <c r="A8" s="212" t="s">
        <v>26</v>
      </c>
      <c r="B8" s="212" t="s">
        <v>591</v>
      </c>
      <c r="C8" s="212" t="s">
        <v>592</v>
      </c>
      <c r="D8" s="374" t="s">
        <v>383</v>
      </c>
      <c r="E8" s="139" t="s">
        <v>524</v>
      </c>
      <c r="F8" s="136" t="s">
        <v>148</v>
      </c>
      <c r="G8" s="139" t="s">
        <v>154</v>
      </c>
      <c r="H8" s="36"/>
      <c r="I8" s="36"/>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299"/>
      <c r="I10" s="299"/>
      <c r="J10" s="299"/>
      <c r="K10" s="217"/>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50">
        <f t="shared" si="1"/>
        <v>66</v>
      </c>
      <c r="C13" s="341">
        <f t="shared" si="1"/>
        <v>63</v>
      </c>
      <c r="D13" s="190">
        <v>27300</v>
      </c>
      <c r="E13" s="190">
        <v>28152</v>
      </c>
      <c r="F13" s="219">
        <v>0</v>
      </c>
      <c r="G13" s="219">
        <v>0</v>
      </c>
      <c r="H13" s="219">
        <v>0</v>
      </c>
      <c r="I13" s="219">
        <v>0</v>
      </c>
      <c r="J13" s="219">
        <v>0</v>
      </c>
      <c r="K13" s="219">
        <v>0</v>
      </c>
      <c r="L13" s="219">
        <v>0</v>
      </c>
      <c r="M13" s="219">
        <v>0</v>
      </c>
      <c r="N13" s="356">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45">
        <f t="shared" si="0"/>
        <v>55452</v>
      </c>
    </row>
    <row r="28" spans="1:14">
      <c r="A28" s="119">
        <f t="shared" ref="A28:C38" si="2">A27+1</f>
        <v>2033</v>
      </c>
      <c r="B28" s="119">
        <f t="shared" si="2"/>
        <v>81</v>
      </c>
      <c r="C28" s="119">
        <f t="shared" si="2"/>
        <v>78</v>
      </c>
      <c r="D28" s="190">
        <v>27300</v>
      </c>
      <c r="E28" s="190">
        <v>28152</v>
      </c>
      <c r="F28" s="219">
        <v>0</v>
      </c>
      <c r="G28" s="219">
        <v>0</v>
      </c>
      <c r="H28" s="219">
        <v>0</v>
      </c>
      <c r="I28" s="219">
        <v>0</v>
      </c>
      <c r="J28" s="219">
        <v>0</v>
      </c>
      <c r="K28" s="219">
        <v>0</v>
      </c>
      <c r="L28" s="219">
        <v>0</v>
      </c>
      <c r="M28" s="219">
        <v>0</v>
      </c>
      <c r="N28" s="45">
        <f t="shared" si="0"/>
        <v>55452</v>
      </c>
    </row>
    <row r="29" spans="1:14">
      <c r="A29" s="119">
        <f t="shared" si="2"/>
        <v>2034</v>
      </c>
      <c r="B29" s="119">
        <f t="shared" si="2"/>
        <v>82</v>
      </c>
      <c r="C29" s="119">
        <f t="shared" si="2"/>
        <v>79</v>
      </c>
      <c r="D29" s="190">
        <v>27300</v>
      </c>
      <c r="E29" s="190">
        <v>28152</v>
      </c>
      <c r="F29" s="219">
        <v>0</v>
      </c>
      <c r="G29" s="219">
        <v>0</v>
      </c>
      <c r="H29" s="219">
        <v>0</v>
      </c>
      <c r="I29" s="219">
        <v>0</v>
      </c>
      <c r="J29" s="219">
        <v>0</v>
      </c>
      <c r="K29" s="219">
        <v>0</v>
      </c>
      <c r="L29" s="219">
        <v>0</v>
      </c>
      <c r="M29" s="219">
        <v>0</v>
      </c>
      <c r="N29" s="45">
        <f t="shared" si="0"/>
        <v>55452</v>
      </c>
    </row>
    <row r="30" spans="1:14">
      <c r="A30" s="119">
        <f t="shared" si="2"/>
        <v>2035</v>
      </c>
      <c r="B30" s="119">
        <f t="shared" si="2"/>
        <v>83</v>
      </c>
      <c r="C30" s="119">
        <f t="shared" si="2"/>
        <v>80</v>
      </c>
      <c r="D30" s="190">
        <v>27300</v>
      </c>
      <c r="E30" s="190">
        <v>28152</v>
      </c>
      <c r="F30" s="219">
        <v>0</v>
      </c>
      <c r="G30" s="219">
        <v>0</v>
      </c>
      <c r="H30" s="219">
        <v>0</v>
      </c>
      <c r="I30" s="219">
        <v>0</v>
      </c>
      <c r="J30" s="219">
        <v>0</v>
      </c>
      <c r="K30" s="219">
        <v>0</v>
      </c>
      <c r="L30" s="219">
        <v>0</v>
      </c>
      <c r="M30" s="219">
        <v>0</v>
      </c>
      <c r="N30" s="45">
        <f t="shared" si="0"/>
        <v>55452</v>
      </c>
    </row>
    <row r="31" spans="1:14">
      <c r="A31" s="119">
        <f t="shared" si="2"/>
        <v>2036</v>
      </c>
      <c r="B31" s="119">
        <f t="shared" si="2"/>
        <v>84</v>
      </c>
      <c r="C31" s="119">
        <f t="shared" si="2"/>
        <v>81</v>
      </c>
      <c r="D31" s="190">
        <v>27300</v>
      </c>
      <c r="E31" s="190">
        <v>28152</v>
      </c>
      <c r="F31" s="219">
        <v>0</v>
      </c>
      <c r="G31" s="219">
        <v>0</v>
      </c>
      <c r="H31" s="219">
        <v>0</v>
      </c>
      <c r="I31" s="219">
        <v>0</v>
      </c>
      <c r="J31" s="219">
        <v>0</v>
      </c>
      <c r="K31" s="219">
        <v>0</v>
      </c>
      <c r="L31" s="219">
        <v>0</v>
      </c>
      <c r="M31" s="219">
        <v>0</v>
      </c>
      <c r="N31" s="45">
        <f t="shared" si="0"/>
        <v>55452</v>
      </c>
    </row>
    <row r="32" spans="1:14">
      <c r="A32" s="119">
        <f t="shared" si="2"/>
        <v>2037</v>
      </c>
      <c r="B32" s="119">
        <f t="shared" si="2"/>
        <v>85</v>
      </c>
      <c r="C32" s="119">
        <f t="shared" si="2"/>
        <v>82</v>
      </c>
      <c r="D32" s="190">
        <v>27300</v>
      </c>
      <c r="E32" s="190">
        <v>28152</v>
      </c>
      <c r="F32" s="219">
        <v>0</v>
      </c>
      <c r="G32" s="219">
        <v>0</v>
      </c>
      <c r="H32" s="219">
        <v>0</v>
      </c>
      <c r="I32" s="219">
        <v>0</v>
      </c>
      <c r="J32" s="219">
        <v>0</v>
      </c>
      <c r="K32" s="219">
        <v>0</v>
      </c>
      <c r="L32" s="219">
        <v>0</v>
      </c>
      <c r="M32" s="219">
        <v>0</v>
      </c>
      <c r="N32" s="45">
        <f t="shared" si="0"/>
        <v>55452</v>
      </c>
    </row>
    <row r="33" spans="1:25">
      <c r="A33" s="119">
        <f t="shared" si="2"/>
        <v>2038</v>
      </c>
      <c r="B33" s="119">
        <f t="shared" si="2"/>
        <v>86</v>
      </c>
      <c r="C33" s="119">
        <f t="shared" si="2"/>
        <v>83</v>
      </c>
      <c r="D33" s="190">
        <v>27300</v>
      </c>
      <c r="E33" s="190">
        <v>28152</v>
      </c>
      <c r="F33" s="219">
        <v>0</v>
      </c>
      <c r="G33" s="219">
        <v>0</v>
      </c>
      <c r="H33" s="219">
        <v>0</v>
      </c>
      <c r="I33" s="219">
        <v>0</v>
      </c>
      <c r="J33" s="219">
        <v>0</v>
      </c>
      <c r="K33" s="219">
        <v>0</v>
      </c>
      <c r="L33" s="219">
        <v>0</v>
      </c>
      <c r="M33" s="219">
        <v>0</v>
      </c>
      <c r="N33" s="45">
        <f t="shared" si="0"/>
        <v>55452</v>
      </c>
    </row>
    <row r="34" spans="1:25">
      <c r="A34" s="119">
        <f t="shared" si="2"/>
        <v>2039</v>
      </c>
      <c r="B34" s="119">
        <f t="shared" si="2"/>
        <v>87</v>
      </c>
      <c r="C34" s="119">
        <f t="shared" si="2"/>
        <v>84</v>
      </c>
      <c r="D34" s="190">
        <v>27300</v>
      </c>
      <c r="E34" s="190">
        <v>28152</v>
      </c>
      <c r="F34" s="219">
        <v>0</v>
      </c>
      <c r="G34" s="219">
        <v>0</v>
      </c>
      <c r="H34" s="219">
        <v>0</v>
      </c>
      <c r="I34" s="219">
        <v>0</v>
      </c>
      <c r="J34" s="219">
        <v>0</v>
      </c>
      <c r="K34" s="219">
        <v>0</v>
      </c>
      <c r="L34" s="219">
        <v>0</v>
      </c>
      <c r="M34" s="219">
        <v>0</v>
      </c>
      <c r="N34" s="45">
        <f t="shared" si="0"/>
        <v>55452</v>
      </c>
    </row>
    <row r="35" spans="1:25">
      <c r="A35" s="119">
        <f t="shared" si="2"/>
        <v>2040</v>
      </c>
      <c r="B35" s="119">
        <f t="shared" si="2"/>
        <v>88</v>
      </c>
      <c r="C35" s="119">
        <f t="shared" si="2"/>
        <v>85</v>
      </c>
      <c r="D35" s="190">
        <v>27300</v>
      </c>
      <c r="E35" s="190">
        <v>28152</v>
      </c>
      <c r="F35" s="219">
        <v>0</v>
      </c>
      <c r="G35" s="219">
        <v>0</v>
      </c>
      <c r="H35" s="219">
        <v>0</v>
      </c>
      <c r="I35" s="219">
        <v>0</v>
      </c>
      <c r="J35" s="219">
        <v>0</v>
      </c>
      <c r="K35" s="219">
        <v>0</v>
      </c>
      <c r="L35" s="219">
        <v>0</v>
      </c>
      <c r="M35" s="219">
        <v>0</v>
      </c>
      <c r="N35" s="45">
        <f t="shared" si="0"/>
        <v>55452</v>
      </c>
    </row>
    <row r="36" spans="1:25">
      <c r="A36" s="119">
        <f t="shared" si="2"/>
        <v>2041</v>
      </c>
      <c r="B36" s="119">
        <f t="shared" si="2"/>
        <v>89</v>
      </c>
      <c r="C36" s="119">
        <f t="shared" si="2"/>
        <v>86</v>
      </c>
      <c r="D36" s="190">
        <v>27300</v>
      </c>
      <c r="E36" s="190">
        <v>28152</v>
      </c>
      <c r="F36" s="219">
        <v>0</v>
      </c>
      <c r="G36" s="219">
        <v>0</v>
      </c>
      <c r="H36" s="219">
        <v>0</v>
      </c>
      <c r="I36" s="219">
        <v>0</v>
      </c>
      <c r="J36" s="219">
        <v>0</v>
      </c>
      <c r="K36" s="219">
        <v>0</v>
      </c>
      <c r="L36" s="219">
        <v>0</v>
      </c>
      <c r="M36" s="219">
        <v>0</v>
      </c>
      <c r="N36" s="45">
        <f t="shared" si="0"/>
        <v>55452</v>
      </c>
    </row>
    <row r="37" spans="1:25">
      <c r="A37" s="119">
        <f t="shared" si="2"/>
        <v>2042</v>
      </c>
      <c r="B37" s="119">
        <f t="shared" si="2"/>
        <v>90</v>
      </c>
      <c r="C37" s="119">
        <f t="shared" si="2"/>
        <v>87</v>
      </c>
      <c r="D37" s="190">
        <v>27300</v>
      </c>
      <c r="E37" s="190">
        <v>28152</v>
      </c>
      <c r="F37" s="219">
        <v>0</v>
      </c>
      <c r="G37" s="219">
        <v>0</v>
      </c>
      <c r="H37" s="219">
        <v>0</v>
      </c>
      <c r="I37" s="219">
        <v>0</v>
      </c>
      <c r="J37" s="219">
        <v>0</v>
      </c>
      <c r="K37" s="219">
        <v>0</v>
      </c>
      <c r="L37" s="219">
        <v>0</v>
      </c>
      <c r="M37" s="219">
        <v>0</v>
      </c>
      <c r="N37" s="45">
        <f t="shared" si="0"/>
        <v>55452</v>
      </c>
    </row>
    <row r="38" spans="1:25">
      <c r="A38" s="137">
        <f t="shared" si="2"/>
        <v>2043</v>
      </c>
      <c r="B38" s="137">
        <f t="shared" si="2"/>
        <v>91</v>
      </c>
      <c r="C38" s="137">
        <f t="shared" si="2"/>
        <v>88</v>
      </c>
      <c r="D38" s="190">
        <v>27300</v>
      </c>
      <c r="E38" s="190">
        <v>28152</v>
      </c>
      <c r="F38" s="219">
        <v>0</v>
      </c>
      <c r="G38" s="219">
        <v>0</v>
      </c>
      <c r="H38" s="219">
        <v>0</v>
      </c>
      <c r="I38" s="219">
        <v>0</v>
      </c>
      <c r="J38" s="219">
        <v>0</v>
      </c>
      <c r="K38" s="219">
        <v>0</v>
      </c>
      <c r="L38" s="219">
        <v>0</v>
      </c>
      <c r="M38" s="219">
        <v>0</v>
      </c>
      <c r="N38" s="45">
        <f t="shared" si="0"/>
        <v>55452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L1:M1"/>
    <mergeCell ref="A10:C10"/>
    <mergeCell ref="E2:K2"/>
    <mergeCell ref="C3:M3"/>
    <mergeCell ref="C4:M4"/>
    <mergeCell ref="D5:L5"/>
    <mergeCell ref="D6:L6"/>
    <mergeCell ref="D7:L7"/>
  </mergeCell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74" t="s">
        <v>713</v>
      </c>
      <c r="M1" s="2174"/>
      <c r="N1" s="437">
        <f>'Joint Timeline No Plan'!N1</f>
        <v>75000</v>
      </c>
    </row>
    <row r="2" spans="1:25" ht="20.3">
      <c r="A2" s="302"/>
      <c r="B2" s="304"/>
      <c r="C2" s="329"/>
      <c r="D2" s="330"/>
      <c r="E2" s="2175" t="str" cm="1">
        <f t="array" ref="E2:K2">'AS with changes'!E3:K3</f>
        <v>William C Ross and Catherine A Ross</v>
      </c>
      <c r="F2" s="2176">
        <v>0</v>
      </c>
      <c r="G2" s="2176">
        <v>0</v>
      </c>
      <c r="H2" s="2176">
        <v>0</v>
      </c>
      <c r="I2" s="2176">
        <v>0</v>
      </c>
      <c r="J2" s="2176">
        <v>0</v>
      </c>
      <c r="K2" s="2176">
        <v>0</v>
      </c>
      <c r="L2" s="313"/>
      <c r="M2" s="330"/>
      <c r="N2" s="310">
        <f>'AS with changes'!G1</f>
        <v>42677</v>
      </c>
    </row>
    <row r="3" spans="1:25" ht="24.05" customHeight="1">
      <c r="A3" s="302"/>
      <c r="B3" s="304"/>
      <c r="C3" s="2177" t="s">
        <v>803</v>
      </c>
      <c r="D3" s="2177"/>
      <c r="E3" s="2177"/>
      <c r="F3" s="2177"/>
      <c r="G3" s="2177"/>
      <c r="H3" s="2177"/>
      <c r="I3" s="2177"/>
      <c r="J3" s="2177"/>
      <c r="K3" s="2177"/>
      <c r="L3" s="2177"/>
      <c r="M3" s="2177"/>
      <c r="N3" s="312">
        <f>'AS with changes'!O3</f>
        <v>75000</v>
      </c>
    </row>
    <row r="4" spans="1:25" ht="19">
      <c r="A4" s="302"/>
      <c r="B4" s="304"/>
      <c r="C4" s="2079" t="s">
        <v>898</v>
      </c>
      <c r="D4" s="2080"/>
      <c r="E4" s="2080"/>
      <c r="F4" s="2080"/>
      <c r="G4" s="2080"/>
      <c r="H4" s="2080"/>
      <c r="I4" s="2080"/>
      <c r="J4" s="2080"/>
      <c r="K4" s="2080"/>
      <c r="L4" s="2080"/>
      <c r="M4" s="2080"/>
      <c r="N4" s="381"/>
    </row>
    <row r="5" spans="1:25" ht="15.05">
      <c r="A5" s="302"/>
      <c r="B5" s="304"/>
      <c r="C5" s="300"/>
      <c r="D5" s="2183"/>
      <c r="E5" s="2183"/>
      <c r="F5" s="2183"/>
      <c r="G5" s="2183"/>
      <c r="H5" s="2183"/>
      <c r="I5" s="2183"/>
      <c r="J5" s="2183"/>
      <c r="K5" s="2183"/>
      <c r="L5" s="2183"/>
      <c r="M5" s="331">
        <f>'AS with changes'!M4</f>
        <v>19109</v>
      </c>
      <c r="N5" s="335">
        <f>'AS with changes'!O4</f>
        <v>64</v>
      </c>
    </row>
    <row r="6" spans="1:25" ht="15.05">
      <c r="A6" s="302"/>
      <c r="B6" s="304"/>
      <c r="C6" s="300"/>
      <c r="D6" s="2183"/>
      <c r="E6" s="2183"/>
      <c r="F6" s="2183"/>
      <c r="G6" s="2183"/>
      <c r="H6" s="2183"/>
      <c r="I6" s="2183"/>
      <c r="J6" s="2183"/>
      <c r="K6" s="2183"/>
      <c r="L6" s="2183"/>
      <c r="M6" s="439">
        <f>'AS with changes'!M5</f>
        <v>20124</v>
      </c>
      <c r="N6" s="336">
        <f>'AS with changes'!O5</f>
        <v>61</v>
      </c>
    </row>
    <row r="7" spans="1:25">
      <c r="A7" s="305"/>
      <c r="B7" s="304"/>
      <c r="C7" s="300"/>
      <c r="D7" s="2182"/>
      <c r="E7" s="2182"/>
      <c r="F7" s="2182"/>
      <c r="G7" s="2182"/>
      <c r="H7" s="2182"/>
      <c r="I7" s="2182"/>
      <c r="J7" s="2182"/>
      <c r="K7" s="2182"/>
      <c r="L7" s="2182"/>
      <c r="M7" s="430"/>
      <c r="N7" s="431"/>
    </row>
    <row r="8" spans="1:25" s="37" customFormat="1" ht="100" customHeight="1">
      <c r="A8" s="212" t="s">
        <v>26</v>
      </c>
      <c r="B8" s="212" t="s">
        <v>591</v>
      </c>
      <c r="C8" s="212" t="s">
        <v>592</v>
      </c>
      <c r="D8" s="374" t="s">
        <v>383</v>
      </c>
      <c r="E8" s="139" t="s">
        <v>524</v>
      </c>
      <c r="F8" s="136" t="s">
        <v>148</v>
      </c>
      <c r="G8" s="139" t="s">
        <v>154</v>
      </c>
      <c r="H8" s="36"/>
      <c r="I8" s="36"/>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299"/>
      <c r="I10" s="299"/>
      <c r="J10" s="299"/>
      <c r="K10" s="217"/>
      <c r="L10" s="217"/>
      <c r="M10" s="217"/>
      <c r="N10" s="218" t="s">
        <v>728</v>
      </c>
    </row>
    <row r="11" spans="1:25">
      <c r="A11" s="119">
        <v>2016</v>
      </c>
      <c r="B11" s="155">
        <f>'Joint Timeline No Plan'!B11</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219">
        <v>0</v>
      </c>
      <c r="I13" s="219">
        <v>0</v>
      </c>
      <c r="J13" s="219">
        <v>0</v>
      </c>
      <c r="K13" s="219">
        <v>0</v>
      </c>
      <c r="L13" s="219">
        <v>0</v>
      </c>
      <c r="M13" s="219">
        <v>0</v>
      </c>
      <c r="N13" s="45">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356">
        <f t="shared" si="0"/>
        <v>55452</v>
      </c>
    </row>
    <row r="28" spans="1:14">
      <c r="A28" s="119">
        <f t="shared" ref="A28:C38" si="2">A27+1</f>
        <v>2033</v>
      </c>
      <c r="B28" s="441">
        <f t="shared" si="2"/>
        <v>81</v>
      </c>
      <c r="C28" s="119">
        <f t="shared" si="2"/>
        <v>78</v>
      </c>
      <c r="D28" s="338">
        <v>0</v>
      </c>
      <c r="E28" s="339">
        <v>28152</v>
      </c>
      <c r="F28" s="219">
        <v>0</v>
      </c>
      <c r="G28" s="219">
        <v>0</v>
      </c>
      <c r="H28" s="219">
        <v>0</v>
      </c>
      <c r="I28" s="219">
        <v>0</v>
      </c>
      <c r="J28" s="219">
        <v>0</v>
      </c>
      <c r="K28" s="219">
        <v>0</v>
      </c>
      <c r="L28" s="219">
        <v>0</v>
      </c>
      <c r="M28" s="219">
        <v>0</v>
      </c>
      <c r="N28" s="337">
        <f t="shared" si="0"/>
        <v>28152</v>
      </c>
    </row>
    <row r="29" spans="1:14">
      <c r="A29" s="119">
        <f t="shared" si="2"/>
        <v>2034</v>
      </c>
      <c r="B29" s="119">
        <f t="shared" si="2"/>
        <v>82</v>
      </c>
      <c r="C29" s="119">
        <f t="shared" si="2"/>
        <v>79</v>
      </c>
      <c r="D29" s="219">
        <f t="shared" ref="D29:D38" si="3">SUM(D28*1.02)</f>
        <v>0</v>
      </c>
      <c r="E29" s="190">
        <v>28152</v>
      </c>
      <c r="F29" s="219">
        <v>0</v>
      </c>
      <c r="G29" s="219">
        <v>0</v>
      </c>
      <c r="H29" s="219">
        <v>0</v>
      </c>
      <c r="I29" s="219">
        <v>0</v>
      </c>
      <c r="J29" s="219">
        <v>0</v>
      </c>
      <c r="K29" s="219">
        <v>0</v>
      </c>
      <c r="L29" s="219">
        <v>0</v>
      </c>
      <c r="M29" s="219">
        <v>0</v>
      </c>
      <c r="N29" s="45">
        <f t="shared" si="0"/>
        <v>28152</v>
      </c>
    </row>
    <row r="30" spans="1:14">
      <c r="A30" s="119">
        <f t="shared" si="2"/>
        <v>2035</v>
      </c>
      <c r="B30" s="119">
        <f t="shared" si="2"/>
        <v>83</v>
      </c>
      <c r="C30" s="119">
        <f t="shared" si="2"/>
        <v>80</v>
      </c>
      <c r="D30" s="219">
        <f t="shared" si="3"/>
        <v>0</v>
      </c>
      <c r="E30" s="190">
        <v>28152</v>
      </c>
      <c r="F30" s="219">
        <v>0</v>
      </c>
      <c r="G30" s="219">
        <v>0</v>
      </c>
      <c r="H30" s="219">
        <v>0</v>
      </c>
      <c r="I30" s="219">
        <v>0</v>
      </c>
      <c r="J30" s="219">
        <v>0</v>
      </c>
      <c r="K30" s="219">
        <v>0</v>
      </c>
      <c r="L30" s="219">
        <v>0</v>
      </c>
      <c r="M30" s="219">
        <v>0</v>
      </c>
      <c r="N30" s="45">
        <f t="shared" si="0"/>
        <v>28152</v>
      </c>
    </row>
    <row r="31" spans="1:14">
      <c r="A31" s="119">
        <f t="shared" si="2"/>
        <v>2036</v>
      </c>
      <c r="B31" s="119">
        <f t="shared" si="2"/>
        <v>84</v>
      </c>
      <c r="C31" s="119">
        <f t="shared" si="2"/>
        <v>81</v>
      </c>
      <c r="D31" s="219">
        <f t="shared" si="3"/>
        <v>0</v>
      </c>
      <c r="E31" s="190">
        <v>28152</v>
      </c>
      <c r="F31" s="219">
        <v>0</v>
      </c>
      <c r="G31" s="219">
        <v>0</v>
      </c>
      <c r="H31" s="219">
        <v>0</v>
      </c>
      <c r="I31" s="219">
        <v>0</v>
      </c>
      <c r="J31" s="219">
        <v>0</v>
      </c>
      <c r="K31" s="219">
        <v>0</v>
      </c>
      <c r="L31" s="219">
        <v>0</v>
      </c>
      <c r="M31" s="219">
        <v>0</v>
      </c>
      <c r="N31" s="45">
        <f t="shared" si="0"/>
        <v>28152</v>
      </c>
    </row>
    <row r="32" spans="1:14">
      <c r="A32" s="119">
        <f t="shared" si="2"/>
        <v>2037</v>
      </c>
      <c r="B32" s="119">
        <f t="shared" si="2"/>
        <v>85</v>
      </c>
      <c r="C32" s="119">
        <f t="shared" si="2"/>
        <v>82</v>
      </c>
      <c r="D32" s="219">
        <f t="shared" si="3"/>
        <v>0</v>
      </c>
      <c r="E32" s="190">
        <v>28152</v>
      </c>
      <c r="F32" s="219">
        <v>0</v>
      </c>
      <c r="G32" s="219">
        <v>0</v>
      </c>
      <c r="H32" s="219">
        <v>0</v>
      </c>
      <c r="I32" s="219">
        <v>0</v>
      </c>
      <c r="J32" s="219">
        <v>0</v>
      </c>
      <c r="K32" s="219">
        <v>0</v>
      </c>
      <c r="L32" s="219">
        <v>0</v>
      </c>
      <c r="M32" s="219">
        <v>0</v>
      </c>
      <c r="N32" s="45">
        <f t="shared" si="0"/>
        <v>28152</v>
      </c>
    </row>
    <row r="33" spans="1:25">
      <c r="A33" s="119">
        <f t="shared" si="2"/>
        <v>2038</v>
      </c>
      <c r="B33" s="119">
        <f t="shared" si="2"/>
        <v>86</v>
      </c>
      <c r="C33" s="119">
        <f t="shared" si="2"/>
        <v>83</v>
      </c>
      <c r="D33" s="219">
        <f t="shared" si="3"/>
        <v>0</v>
      </c>
      <c r="E33" s="190">
        <v>28152</v>
      </c>
      <c r="F33" s="219">
        <v>0</v>
      </c>
      <c r="G33" s="219">
        <v>0</v>
      </c>
      <c r="H33" s="219">
        <v>0</v>
      </c>
      <c r="I33" s="219">
        <v>0</v>
      </c>
      <c r="J33" s="219">
        <v>0</v>
      </c>
      <c r="K33" s="219">
        <v>0</v>
      </c>
      <c r="L33" s="219">
        <v>0</v>
      </c>
      <c r="M33" s="219">
        <v>0</v>
      </c>
      <c r="N33" s="45">
        <f t="shared" si="0"/>
        <v>28152</v>
      </c>
    </row>
    <row r="34" spans="1:25">
      <c r="A34" s="119">
        <f t="shared" si="2"/>
        <v>2039</v>
      </c>
      <c r="B34" s="119">
        <f t="shared" si="2"/>
        <v>87</v>
      </c>
      <c r="C34" s="119">
        <f t="shared" si="2"/>
        <v>84</v>
      </c>
      <c r="D34" s="219">
        <f t="shared" si="3"/>
        <v>0</v>
      </c>
      <c r="E34" s="190">
        <v>28152</v>
      </c>
      <c r="F34" s="219">
        <v>0</v>
      </c>
      <c r="G34" s="219">
        <v>0</v>
      </c>
      <c r="H34" s="219">
        <v>0</v>
      </c>
      <c r="I34" s="219">
        <v>0</v>
      </c>
      <c r="J34" s="219">
        <v>0</v>
      </c>
      <c r="K34" s="219">
        <v>0</v>
      </c>
      <c r="L34" s="219">
        <v>0</v>
      </c>
      <c r="M34" s="219">
        <v>0</v>
      </c>
      <c r="N34" s="45">
        <f t="shared" si="0"/>
        <v>28152</v>
      </c>
    </row>
    <row r="35" spans="1:25">
      <c r="A35" s="119">
        <f t="shared" si="2"/>
        <v>2040</v>
      </c>
      <c r="B35" s="119">
        <f t="shared" si="2"/>
        <v>88</v>
      </c>
      <c r="C35" s="119">
        <f t="shared" si="2"/>
        <v>85</v>
      </c>
      <c r="D35" s="219">
        <f t="shared" si="3"/>
        <v>0</v>
      </c>
      <c r="E35" s="190">
        <v>28152</v>
      </c>
      <c r="F35" s="219">
        <v>0</v>
      </c>
      <c r="G35" s="219">
        <v>0</v>
      </c>
      <c r="H35" s="219">
        <v>0</v>
      </c>
      <c r="I35" s="219">
        <v>0</v>
      </c>
      <c r="J35" s="219">
        <v>0</v>
      </c>
      <c r="K35" s="219">
        <v>0</v>
      </c>
      <c r="L35" s="219">
        <v>0</v>
      </c>
      <c r="M35" s="219">
        <v>0</v>
      </c>
      <c r="N35" s="45">
        <f t="shared" si="0"/>
        <v>28152</v>
      </c>
    </row>
    <row r="36" spans="1:25">
      <c r="A36" s="119">
        <f t="shared" si="2"/>
        <v>2041</v>
      </c>
      <c r="B36" s="119">
        <f t="shared" si="2"/>
        <v>89</v>
      </c>
      <c r="C36" s="119">
        <f t="shared" si="2"/>
        <v>86</v>
      </c>
      <c r="D36" s="219">
        <f t="shared" si="3"/>
        <v>0</v>
      </c>
      <c r="E36" s="190">
        <v>28152</v>
      </c>
      <c r="F36" s="219">
        <v>0</v>
      </c>
      <c r="G36" s="219">
        <v>0</v>
      </c>
      <c r="H36" s="219">
        <v>0</v>
      </c>
      <c r="I36" s="219">
        <v>0</v>
      </c>
      <c r="J36" s="219">
        <v>0</v>
      </c>
      <c r="K36" s="219">
        <v>0</v>
      </c>
      <c r="L36" s="219">
        <v>0</v>
      </c>
      <c r="M36" s="219">
        <v>0</v>
      </c>
      <c r="N36" s="45">
        <f t="shared" si="0"/>
        <v>28152</v>
      </c>
    </row>
    <row r="37" spans="1:25">
      <c r="A37" s="119">
        <f t="shared" si="2"/>
        <v>2042</v>
      </c>
      <c r="B37" s="119">
        <f t="shared" si="2"/>
        <v>90</v>
      </c>
      <c r="C37" s="119">
        <f t="shared" si="2"/>
        <v>87</v>
      </c>
      <c r="D37" s="219">
        <f t="shared" si="3"/>
        <v>0</v>
      </c>
      <c r="E37" s="190">
        <v>28152</v>
      </c>
      <c r="F37" s="219">
        <v>0</v>
      </c>
      <c r="G37" s="219">
        <v>0</v>
      </c>
      <c r="H37" s="219">
        <v>0</v>
      </c>
      <c r="I37" s="219">
        <v>0</v>
      </c>
      <c r="J37" s="219">
        <v>0</v>
      </c>
      <c r="K37" s="219">
        <v>0</v>
      </c>
      <c r="L37" s="219">
        <v>0</v>
      </c>
      <c r="M37" s="219">
        <v>0</v>
      </c>
      <c r="N37" s="45">
        <f t="shared" si="0"/>
        <v>28152</v>
      </c>
    </row>
    <row r="38" spans="1:25">
      <c r="A38" s="137">
        <f t="shared" si="2"/>
        <v>2043</v>
      </c>
      <c r="B38" s="137">
        <f t="shared" si="2"/>
        <v>91</v>
      </c>
      <c r="C38" s="137">
        <f t="shared" si="2"/>
        <v>88</v>
      </c>
      <c r="D38" s="219">
        <f t="shared" si="3"/>
        <v>0</v>
      </c>
      <c r="E38" s="190">
        <v>28152</v>
      </c>
      <c r="F38" s="219">
        <v>0</v>
      </c>
      <c r="G38" s="219">
        <v>0</v>
      </c>
      <c r="H38" s="219">
        <v>0</v>
      </c>
      <c r="I38" s="219">
        <v>0</v>
      </c>
      <c r="J38" s="219">
        <v>0</v>
      </c>
      <c r="K38" s="219">
        <v>0</v>
      </c>
      <c r="L38" s="219">
        <v>0</v>
      </c>
      <c r="M38" s="219">
        <v>0</v>
      </c>
      <c r="N38" s="45">
        <f t="shared" si="0"/>
        <v>28152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74" t="s">
        <v>713</v>
      </c>
      <c r="M1" s="2174"/>
      <c r="N1" s="437" t="e">
        <f>'[14]Her Survival No Plan '!N1</f>
        <v>#REF!</v>
      </c>
    </row>
    <row r="2" spans="1:25" ht="20.3">
      <c r="A2" s="302"/>
      <c r="B2" s="304"/>
      <c r="C2" s="329"/>
      <c r="D2" s="330"/>
      <c r="E2" s="2175" t="str" cm="1">
        <f t="array" ref="E2:K2">'AS with changes'!E3:K3</f>
        <v>William C Ross and Catherine A Ross</v>
      </c>
      <c r="F2" s="2176">
        <v>0</v>
      </c>
      <c r="G2" s="2176">
        <v>0</v>
      </c>
      <c r="H2" s="2176">
        <v>0</v>
      </c>
      <c r="I2" s="2176">
        <v>0</v>
      </c>
      <c r="J2" s="2176">
        <v>0</v>
      </c>
      <c r="K2" s="2176">
        <v>0</v>
      </c>
      <c r="L2" s="313"/>
      <c r="M2" s="330"/>
      <c r="N2" s="310">
        <f>'AS with changes'!G1</f>
        <v>42677</v>
      </c>
    </row>
    <row r="3" spans="1:25" ht="24.05" customHeight="1">
      <c r="A3" s="302"/>
      <c r="B3" s="304"/>
      <c r="C3" s="2177" t="s">
        <v>803</v>
      </c>
      <c r="D3" s="2177"/>
      <c r="E3" s="2177"/>
      <c r="F3" s="2177"/>
      <c r="G3" s="2177"/>
      <c r="H3" s="2177"/>
      <c r="I3" s="2177"/>
      <c r="J3" s="2177"/>
      <c r="K3" s="2177"/>
      <c r="L3" s="2177"/>
      <c r="M3" s="2177"/>
      <c r="N3" s="312">
        <f>'AS with changes'!O3</f>
        <v>75000</v>
      </c>
    </row>
    <row r="4" spans="1:25" ht="19">
      <c r="A4" s="302"/>
      <c r="B4" s="304"/>
      <c r="C4" s="2081" t="s">
        <v>899</v>
      </c>
      <c r="D4" s="2082"/>
      <c r="E4" s="2082"/>
      <c r="F4" s="2082"/>
      <c r="G4" s="2082"/>
      <c r="H4" s="2082"/>
      <c r="I4" s="2082"/>
      <c r="J4" s="2082"/>
      <c r="K4" s="2082"/>
      <c r="L4" s="2082"/>
      <c r="M4" s="2082"/>
      <c r="N4" s="451"/>
    </row>
    <row r="5" spans="1:25" ht="15.05">
      <c r="A5" s="302"/>
      <c r="B5" s="304"/>
      <c r="C5" s="300"/>
      <c r="D5" s="2185"/>
      <c r="E5" s="2185"/>
      <c r="F5" s="2185"/>
      <c r="G5" s="2185"/>
      <c r="H5" s="2185"/>
      <c r="I5" s="2185"/>
      <c r="J5" s="2185"/>
      <c r="K5" s="2185"/>
      <c r="L5" s="2185"/>
      <c r="M5" s="331">
        <f>'AS with changes'!M4</f>
        <v>19109</v>
      </c>
      <c r="N5" s="335">
        <f>'AS with changes'!O4</f>
        <v>64</v>
      </c>
    </row>
    <row r="6" spans="1:25" ht="15.05">
      <c r="A6" s="302"/>
      <c r="B6" s="304"/>
      <c r="C6" s="300"/>
      <c r="D6" s="2185"/>
      <c r="E6" s="2185"/>
      <c r="F6" s="2185"/>
      <c r="G6" s="2185"/>
      <c r="H6" s="2185"/>
      <c r="I6" s="2185"/>
      <c r="J6" s="2185"/>
      <c r="K6" s="2185"/>
      <c r="L6" s="2185"/>
      <c r="M6" s="439">
        <f>'AS with changes'!M5</f>
        <v>20124</v>
      </c>
      <c r="N6" s="336">
        <f>'AS with changes'!O5</f>
        <v>61</v>
      </c>
    </row>
    <row r="7" spans="1:25">
      <c r="A7" s="305"/>
      <c r="B7" s="304"/>
      <c r="C7" s="300"/>
      <c r="D7" s="2184"/>
      <c r="E7" s="2184"/>
      <c r="F7" s="2184"/>
      <c r="G7" s="2184"/>
      <c r="H7" s="2184"/>
      <c r="I7" s="2184"/>
      <c r="J7" s="2184"/>
      <c r="K7" s="2184"/>
      <c r="L7" s="2184"/>
      <c r="M7" s="432"/>
      <c r="N7" s="433"/>
    </row>
    <row r="8" spans="1:25" s="37" customFormat="1" ht="100" customHeight="1">
      <c r="A8" s="212" t="s">
        <v>26</v>
      </c>
      <c r="B8" s="212" t="s">
        <v>591</v>
      </c>
      <c r="C8" s="212" t="s">
        <v>592</v>
      </c>
      <c r="D8" s="374" t="s">
        <v>383</v>
      </c>
      <c r="E8" s="139" t="s">
        <v>524</v>
      </c>
      <c r="F8" s="136" t="s">
        <v>148</v>
      </c>
      <c r="G8" s="139" t="s">
        <v>154</v>
      </c>
      <c r="H8" s="36"/>
      <c r="I8" s="36"/>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299"/>
      <c r="I10" s="299"/>
      <c r="J10" s="299"/>
      <c r="K10" s="217"/>
      <c r="L10" s="217"/>
      <c r="M10" s="217"/>
      <c r="N10" s="218" t="s">
        <v>728</v>
      </c>
    </row>
    <row r="11" spans="1:25">
      <c r="A11" s="119">
        <v>2016</v>
      </c>
      <c r="B11" s="155">
        <f>'AS with changes'!O4</f>
        <v>64</v>
      </c>
      <c r="C11" s="119">
        <f>'Joint Timeline No Plan'!C11</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219">
        <v>0</v>
      </c>
      <c r="I13" s="219">
        <v>0</v>
      </c>
      <c r="J13" s="219">
        <v>0</v>
      </c>
      <c r="K13" s="219">
        <v>0</v>
      </c>
      <c r="L13" s="219">
        <v>0</v>
      </c>
      <c r="M13" s="219">
        <v>0</v>
      </c>
      <c r="N13" s="45">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45">
        <f t="shared" si="0"/>
        <v>55452</v>
      </c>
    </row>
    <row r="28" spans="1:14">
      <c r="A28" s="119">
        <f t="shared" ref="A28:C38" si="2">A27+1</f>
        <v>2033</v>
      </c>
      <c r="B28" s="148">
        <f t="shared" si="2"/>
        <v>81</v>
      </c>
      <c r="C28" s="119">
        <f t="shared" si="2"/>
        <v>78</v>
      </c>
      <c r="D28" s="190">
        <v>27300</v>
      </c>
      <c r="E28" s="190">
        <v>28152</v>
      </c>
      <c r="F28" s="219">
        <v>0</v>
      </c>
      <c r="G28" s="219">
        <v>0</v>
      </c>
      <c r="H28" s="219">
        <v>0</v>
      </c>
      <c r="I28" s="219">
        <v>0</v>
      </c>
      <c r="J28" s="219">
        <v>0</v>
      </c>
      <c r="K28" s="219">
        <v>0</v>
      </c>
      <c r="L28" s="219">
        <v>0</v>
      </c>
      <c r="M28" s="219">
        <v>0</v>
      </c>
      <c r="N28" s="45">
        <f t="shared" si="0"/>
        <v>55452</v>
      </c>
    </row>
    <row r="29" spans="1:14">
      <c r="A29" s="119">
        <f t="shared" si="2"/>
        <v>2034</v>
      </c>
      <c r="B29" s="119">
        <f t="shared" si="2"/>
        <v>82</v>
      </c>
      <c r="C29" s="119">
        <f t="shared" si="2"/>
        <v>79</v>
      </c>
      <c r="D29" s="190">
        <v>27300</v>
      </c>
      <c r="E29" s="190">
        <v>28152</v>
      </c>
      <c r="F29" s="219">
        <v>0</v>
      </c>
      <c r="G29" s="219">
        <v>0</v>
      </c>
      <c r="H29" s="219">
        <v>0</v>
      </c>
      <c r="I29" s="219">
        <v>0</v>
      </c>
      <c r="J29" s="219">
        <v>0</v>
      </c>
      <c r="K29" s="219">
        <v>0</v>
      </c>
      <c r="L29" s="219">
        <v>0</v>
      </c>
      <c r="M29" s="219">
        <v>0</v>
      </c>
      <c r="N29" s="45">
        <f t="shared" si="0"/>
        <v>55452</v>
      </c>
    </row>
    <row r="30" spans="1:14">
      <c r="A30" s="119">
        <f t="shared" si="2"/>
        <v>2035</v>
      </c>
      <c r="B30" s="119">
        <f t="shared" si="2"/>
        <v>83</v>
      </c>
      <c r="C30" s="119">
        <f t="shared" si="2"/>
        <v>80</v>
      </c>
      <c r="D30" s="190">
        <v>27300</v>
      </c>
      <c r="E30" s="190">
        <v>28152</v>
      </c>
      <c r="F30" s="219">
        <v>0</v>
      </c>
      <c r="G30" s="219">
        <v>0</v>
      </c>
      <c r="H30" s="219">
        <v>0</v>
      </c>
      <c r="I30" s="219">
        <v>0</v>
      </c>
      <c r="J30" s="219">
        <v>0</v>
      </c>
      <c r="K30" s="219">
        <v>0</v>
      </c>
      <c r="L30" s="219">
        <v>0</v>
      </c>
      <c r="M30" s="219">
        <v>0</v>
      </c>
      <c r="N30" s="375">
        <f t="shared" si="0"/>
        <v>55452</v>
      </c>
    </row>
    <row r="31" spans="1:14">
      <c r="A31" s="119">
        <f t="shared" si="2"/>
        <v>2036</v>
      </c>
      <c r="B31" s="119">
        <f t="shared" si="2"/>
        <v>84</v>
      </c>
      <c r="C31" s="119">
        <f t="shared" si="2"/>
        <v>81</v>
      </c>
      <c r="D31" s="190">
        <v>27300</v>
      </c>
      <c r="E31" s="190">
        <v>28152</v>
      </c>
      <c r="F31" s="219">
        <v>0</v>
      </c>
      <c r="G31" s="219">
        <v>0</v>
      </c>
      <c r="H31" s="219">
        <v>0</v>
      </c>
      <c r="I31" s="219">
        <v>0</v>
      </c>
      <c r="J31" s="219">
        <v>0</v>
      </c>
      <c r="K31" s="219">
        <v>0</v>
      </c>
      <c r="L31" s="219">
        <v>0</v>
      </c>
      <c r="M31" s="219">
        <v>0</v>
      </c>
      <c r="N31" s="45">
        <f t="shared" si="0"/>
        <v>55452</v>
      </c>
    </row>
    <row r="32" spans="1:14">
      <c r="A32" s="119">
        <f t="shared" si="2"/>
        <v>2037</v>
      </c>
      <c r="B32" s="119">
        <f t="shared" si="2"/>
        <v>85</v>
      </c>
      <c r="C32" s="119">
        <f t="shared" si="2"/>
        <v>82</v>
      </c>
      <c r="D32" s="190">
        <v>27300</v>
      </c>
      <c r="E32" s="190">
        <v>28152</v>
      </c>
      <c r="F32" s="219">
        <v>0</v>
      </c>
      <c r="G32" s="219">
        <v>0</v>
      </c>
      <c r="H32" s="219">
        <v>0</v>
      </c>
      <c r="I32" s="219">
        <v>0</v>
      </c>
      <c r="J32" s="219">
        <v>0</v>
      </c>
      <c r="K32" s="219">
        <v>0</v>
      </c>
      <c r="L32" s="219">
        <v>0</v>
      </c>
      <c r="M32" s="219">
        <v>0</v>
      </c>
      <c r="N32" s="45">
        <f t="shared" si="0"/>
        <v>55452</v>
      </c>
    </row>
    <row r="33" spans="1:25">
      <c r="A33" s="119">
        <f t="shared" si="2"/>
        <v>2038</v>
      </c>
      <c r="B33" s="119">
        <f t="shared" si="2"/>
        <v>86</v>
      </c>
      <c r="C33" s="119">
        <f t="shared" si="2"/>
        <v>83</v>
      </c>
      <c r="D33" s="190">
        <v>27300</v>
      </c>
      <c r="E33" s="190">
        <v>28152</v>
      </c>
      <c r="F33" s="219">
        <v>0</v>
      </c>
      <c r="G33" s="219">
        <v>0</v>
      </c>
      <c r="H33" s="219">
        <v>0</v>
      </c>
      <c r="I33" s="219">
        <v>0</v>
      </c>
      <c r="J33" s="219">
        <v>0</v>
      </c>
      <c r="K33" s="219">
        <v>0</v>
      </c>
      <c r="L33" s="219">
        <v>0</v>
      </c>
      <c r="M33" s="219">
        <v>0</v>
      </c>
      <c r="N33" s="356">
        <f t="shared" si="0"/>
        <v>55452</v>
      </c>
    </row>
    <row r="34" spans="1:25">
      <c r="A34" s="119">
        <f t="shared" si="2"/>
        <v>2039</v>
      </c>
      <c r="B34" s="119">
        <f t="shared" si="2"/>
        <v>87</v>
      </c>
      <c r="C34" s="341">
        <f t="shared" si="2"/>
        <v>84</v>
      </c>
      <c r="D34" s="450">
        <v>0</v>
      </c>
      <c r="E34" s="339">
        <v>28152</v>
      </c>
      <c r="F34" s="219">
        <v>0</v>
      </c>
      <c r="G34" s="219">
        <v>0</v>
      </c>
      <c r="H34" s="219">
        <v>0</v>
      </c>
      <c r="I34" s="219">
        <v>0</v>
      </c>
      <c r="J34" s="219">
        <v>0</v>
      </c>
      <c r="K34" s="219">
        <v>0</v>
      </c>
      <c r="L34" s="219">
        <v>0</v>
      </c>
      <c r="M34" s="219">
        <v>0</v>
      </c>
      <c r="N34" s="340">
        <f t="shared" si="0"/>
        <v>28152</v>
      </c>
    </row>
    <row r="35" spans="1:25">
      <c r="A35" s="119">
        <f t="shared" si="2"/>
        <v>2040</v>
      </c>
      <c r="B35" s="119">
        <f t="shared" si="2"/>
        <v>88</v>
      </c>
      <c r="C35" s="119">
        <f t="shared" si="2"/>
        <v>85</v>
      </c>
      <c r="D35" s="219">
        <f t="shared" ref="D35:D38" si="3">SUM(D34*1.02)</f>
        <v>0</v>
      </c>
      <c r="E35" s="190">
        <v>28152</v>
      </c>
      <c r="F35" s="219">
        <v>0</v>
      </c>
      <c r="G35" s="219">
        <v>0</v>
      </c>
      <c r="H35" s="219">
        <v>0</v>
      </c>
      <c r="I35" s="219">
        <v>0</v>
      </c>
      <c r="J35" s="219">
        <v>0</v>
      </c>
      <c r="K35" s="219">
        <v>0</v>
      </c>
      <c r="L35" s="219">
        <v>0</v>
      </c>
      <c r="M35" s="219">
        <v>0</v>
      </c>
      <c r="N35" s="45">
        <f t="shared" si="0"/>
        <v>28152</v>
      </c>
    </row>
    <row r="36" spans="1:25">
      <c r="A36" s="119">
        <f t="shared" si="2"/>
        <v>2041</v>
      </c>
      <c r="B36" s="119">
        <f t="shared" si="2"/>
        <v>89</v>
      </c>
      <c r="C36" s="119">
        <f t="shared" si="2"/>
        <v>86</v>
      </c>
      <c r="D36" s="219">
        <f t="shared" si="3"/>
        <v>0</v>
      </c>
      <c r="E36" s="190">
        <v>28152</v>
      </c>
      <c r="F36" s="219">
        <v>0</v>
      </c>
      <c r="G36" s="219">
        <v>0</v>
      </c>
      <c r="H36" s="219">
        <v>0</v>
      </c>
      <c r="I36" s="219">
        <v>0</v>
      </c>
      <c r="J36" s="219">
        <v>0</v>
      </c>
      <c r="K36" s="219">
        <v>0</v>
      </c>
      <c r="L36" s="219">
        <v>0</v>
      </c>
      <c r="M36" s="219">
        <v>0</v>
      </c>
      <c r="N36" s="45">
        <f t="shared" si="0"/>
        <v>28152</v>
      </c>
    </row>
    <row r="37" spans="1:25">
      <c r="A37" s="119">
        <f t="shared" si="2"/>
        <v>2042</v>
      </c>
      <c r="B37" s="119">
        <f t="shared" si="2"/>
        <v>90</v>
      </c>
      <c r="C37" s="119">
        <f t="shared" si="2"/>
        <v>87</v>
      </c>
      <c r="D37" s="219">
        <f t="shared" si="3"/>
        <v>0</v>
      </c>
      <c r="E37" s="190">
        <v>28152</v>
      </c>
      <c r="F37" s="219">
        <v>0</v>
      </c>
      <c r="G37" s="219">
        <v>0</v>
      </c>
      <c r="H37" s="219">
        <v>0</v>
      </c>
      <c r="I37" s="219">
        <v>0</v>
      </c>
      <c r="J37" s="219">
        <v>0</v>
      </c>
      <c r="K37" s="219">
        <v>0</v>
      </c>
      <c r="L37" s="219">
        <v>0</v>
      </c>
      <c r="M37" s="219">
        <v>0</v>
      </c>
      <c r="N37" s="45">
        <f t="shared" si="0"/>
        <v>28152</v>
      </c>
    </row>
    <row r="38" spans="1:25">
      <c r="A38" s="137">
        <f t="shared" si="2"/>
        <v>2043</v>
      </c>
      <c r="B38" s="137">
        <f t="shared" si="2"/>
        <v>91</v>
      </c>
      <c r="C38" s="137">
        <f t="shared" si="2"/>
        <v>88</v>
      </c>
      <c r="D38" s="219">
        <f t="shared" si="3"/>
        <v>0</v>
      </c>
      <c r="E38" s="190">
        <v>28152</v>
      </c>
      <c r="F38" s="219">
        <v>0</v>
      </c>
      <c r="G38" s="219">
        <v>0</v>
      </c>
      <c r="H38" s="219">
        <v>0</v>
      </c>
      <c r="I38" s="219">
        <v>0</v>
      </c>
      <c r="J38" s="219">
        <v>0</v>
      </c>
      <c r="K38" s="219">
        <v>0</v>
      </c>
      <c r="L38" s="219">
        <v>0</v>
      </c>
      <c r="M38" s="219">
        <v>0</v>
      </c>
      <c r="N38" s="45">
        <f t="shared" si="0"/>
        <v>28152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Q31:R91"/>
  <sheetViews>
    <sheetView showGridLines="0" workbookViewId="0"/>
  </sheetViews>
  <sheetFormatPr defaultColWidth="9.125" defaultRowHeight="12.45"/>
  <cols>
    <col min="17" max="17" width="10.75" customWidth="1"/>
  </cols>
  <sheetData>
    <row r="31" spans="17:18" ht="20.3">
      <c r="Q31" s="424">
        <v>9</v>
      </c>
      <c r="R31" s="425">
        <v>9</v>
      </c>
    </row>
    <row r="45" spans="17:17" ht="20.3">
      <c r="Q45" s="387">
        <f>'AS with changes'!O4-120</f>
        <v>-56</v>
      </c>
    </row>
    <row r="58" spans="17:18" ht="20.3">
      <c r="Q58" s="424">
        <v>10</v>
      </c>
      <c r="R58" s="425">
        <v>10</v>
      </c>
    </row>
    <row r="80" spans="17:18" ht="20.3">
      <c r="Q80" s="424">
        <v>10</v>
      </c>
      <c r="R80" s="425">
        <v>10</v>
      </c>
    </row>
    <row r="83" spans="17:18" ht="20.3">
      <c r="Q83" s="426" t="s">
        <v>301</v>
      </c>
      <c r="R83" s="427" t="s">
        <v>301</v>
      </c>
    </row>
    <row r="88" spans="17:18" ht="20.3">
      <c r="Q88" s="424">
        <v>10</v>
      </c>
      <c r="R88" s="425">
        <v>10</v>
      </c>
    </row>
    <row r="91" spans="17:18" ht="20.3">
      <c r="Q91" s="428" t="s">
        <v>900</v>
      </c>
    </row>
  </sheetData>
  <dataValidations count="3">
    <dataValidation type="list" allowBlank="1" showInputMessage="1" showErrorMessage="1" sqref="Q83:R83" xr:uid="{00000000-0002-0000-6300-000000000000}">
      <formula1>"Yes, No"</formula1>
    </dataValidation>
    <dataValidation type="list" allowBlank="1" showInputMessage="1" showErrorMessage="1" sqref="Q91" xr:uid="{00000000-0002-0000-6300-000001000000}">
      <formula1>"30 days, Jan, Feb, Mar, April, May, June, July, Aug, Sept, Oct, Nov, Dec"</formula1>
    </dataValidation>
    <dataValidation type="list" allowBlank="1" showInputMessage="1" showErrorMessage="1" sqref="Q31:R31 Q58:R58 Q88:R88 Q80:R80" xr:uid="{00000000-0002-0000-6300-000002000000}">
      <formula1>"1,2,3,4,5,6,7,8,9,10"</formula1>
    </dataValidation>
  </dataValidation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1"/>
  </sheetPr>
  <dimension ref="A1:Q66"/>
  <sheetViews>
    <sheetView showGridLines="0" workbookViewId="0"/>
  </sheetViews>
  <sheetFormatPr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608" t="s">
        <v>136</v>
      </c>
      <c r="F1" s="1608"/>
      <c r="G1" s="309">
        <v>42677</v>
      </c>
      <c r="H1" s="308"/>
      <c r="I1" s="308"/>
      <c r="M1" s="192" t="s">
        <v>843</v>
      </c>
      <c r="O1" s="191">
        <v>27300</v>
      </c>
    </row>
    <row r="2" spans="1:16" ht="15.05">
      <c r="B2" s="422">
        <f>'AS with changes'!L3405</f>
        <v>0</v>
      </c>
      <c r="D2" s="307"/>
      <c r="E2" s="307"/>
      <c r="F2" s="307"/>
      <c r="G2" s="307"/>
      <c r="H2" s="307"/>
      <c r="I2" s="307"/>
      <c r="M2" s="192" t="s">
        <v>845</v>
      </c>
      <c r="O2" s="191">
        <v>28152</v>
      </c>
    </row>
    <row r="3" spans="1:16" ht="20.3">
      <c r="E3" s="1987" t="s">
        <v>846</v>
      </c>
      <c r="F3" s="1987"/>
      <c r="G3" s="1987"/>
      <c r="H3" s="1987"/>
      <c r="I3" s="1987"/>
      <c r="J3" s="1987"/>
      <c r="K3" s="1987"/>
      <c r="L3" s="423"/>
      <c r="M3" s="192" t="s">
        <v>847</v>
      </c>
      <c r="N3" s="69"/>
      <c r="O3" s="311">
        <v>75000</v>
      </c>
    </row>
    <row r="4" spans="1:16" ht="17.7">
      <c r="E4" s="1610" t="s">
        <v>848</v>
      </c>
      <c r="F4" s="1610"/>
      <c r="G4" s="1610"/>
      <c r="H4" s="1610"/>
      <c r="I4" s="1610"/>
      <c r="J4" s="1610"/>
      <c r="K4" s="1610"/>
      <c r="M4" s="372">
        <v>19109</v>
      </c>
      <c r="N4" s="335" t="s">
        <v>58</v>
      </c>
      <c r="O4" s="335">
        <v>64</v>
      </c>
      <c r="P4" s="306"/>
    </row>
    <row r="5" spans="1:16" ht="17.7">
      <c r="G5" s="2146" t="s">
        <v>849</v>
      </c>
      <c r="H5" s="2146"/>
      <c r="I5" s="2146"/>
      <c r="J5" s="2146"/>
      <c r="M5" s="373">
        <v>20124</v>
      </c>
      <c r="N5" s="336" t="s">
        <v>58</v>
      </c>
      <c r="O5" s="336">
        <v>61</v>
      </c>
      <c r="P5" s="306"/>
    </row>
    <row r="6" spans="1:16" s="15" customFormat="1" ht="14.1" customHeight="1">
      <c r="A6" s="7" t="s">
        <v>850</v>
      </c>
      <c r="B6" s="8"/>
      <c r="C6" s="9"/>
      <c r="D6" s="9"/>
      <c r="E6" s="10" t="s">
        <v>139</v>
      </c>
      <c r="F6" s="11"/>
      <c r="G6" s="12" t="s">
        <v>140</v>
      </c>
      <c r="H6" s="11"/>
      <c r="I6" s="13" t="s">
        <v>141</v>
      </c>
      <c r="J6" s="13"/>
      <c r="K6" s="13" t="s">
        <v>142</v>
      </c>
      <c r="L6" s="48"/>
      <c r="M6" s="11" t="s">
        <v>143</v>
      </c>
      <c r="N6" s="11"/>
      <c r="O6" s="14" t="s">
        <v>144</v>
      </c>
    </row>
    <row r="7" spans="1:16" s="15" customFormat="1" ht="14.1" customHeight="1">
      <c r="A7" s="193" t="s">
        <v>145</v>
      </c>
      <c r="C7" s="15" t="s">
        <v>851</v>
      </c>
      <c r="E7" s="194"/>
      <c r="G7" s="18"/>
      <c r="I7" s="49"/>
      <c r="J7" s="49"/>
      <c r="K7" s="195">
        <v>32000</v>
      </c>
      <c r="L7" s="50"/>
      <c r="M7" s="49"/>
      <c r="N7" s="49"/>
      <c r="O7" s="49"/>
    </row>
    <row r="8" spans="1:16" s="15" customFormat="1" ht="14.1" customHeight="1">
      <c r="A8" s="193" t="s">
        <v>852</v>
      </c>
      <c r="C8" s="196" t="s">
        <v>853</v>
      </c>
      <c r="E8" s="194"/>
      <c r="G8" s="18"/>
      <c r="I8" s="49"/>
      <c r="J8" s="49"/>
      <c r="K8" s="195">
        <v>1000</v>
      </c>
      <c r="L8" s="50"/>
      <c r="M8" s="49"/>
      <c r="N8" s="49"/>
      <c r="O8" s="49"/>
    </row>
    <row r="9" spans="1:16" s="15" customFormat="1" ht="14.1" customHeight="1">
      <c r="A9" s="193" t="s">
        <v>854</v>
      </c>
      <c r="C9" s="196" t="s">
        <v>853</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180</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855</v>
      </c>
      <c r="B19" s="11"/>
      <c r="C19" s="9"/>
      <c r="D19" s="11"/>
      <c r="E19" s="10" t="s">
        <v>139</v>
      </c>
      <c r="F19" s="11"/>
      <c r="G19" s="12" t="s">
        <v>140</v>
      </c>
      <c r="H19" s="11"/>
      <c r="I19" s="13" t="s">
        <v>141</v>
      </c>
      <c r="J19" s="13"/>
      <c r="K19" s="13" t="s">
        <v>142</v>
      </c>
      <c r="L19" s="48"/>
      <c r="M19" s="11" t="s">
        <v>143</v>
      </c>
      <c r="N19" s="11"/>
      <c r="O19" s="14" t="s">
        <v>144</v>
      </c>
    </row>
    <row r="20" spans="1:15" s="15" customFormat="1" ht="14.1" customHeight="1">
      <c r="A20" s="16" t="s">
        <v>852</v>
      </c>
      <c r="B20" s="197"/>
      <c r="C20" s="429" t="s">
        <v>856</v>
      </c>
      <c r="D20" s="198" t="s">
        <v>158</v>
      </c>
      <c r="E20" s="196"/>
      <c r="G20" s="200"/>
      <c r="I20" s="201"/>
      <c r="J20" s="49"/>
      <c r="K20" s="195">
        <v>21820.68</v>
      </c>
      <c r="L20" s="50"/>
      <c r="M20" s="49"/>
      <c r="N20" s="49"/>
      <c r="O20" s="49"/>
    </row>
    <row r="21" spans="1:15" s="15" customFormat="1" ht="14.1" customHeight="1">
      <c r="A21" s="52" t="s">
        <v>852</v>
      </c>
      <c r="B21" s="203"/>
      <c r="C21" s="456" t="s">
        <v>857</v>
      </c>
      <c r="D21" s="457" t="s">
        <v>262</v>
      </c>
      <c r="E21" s="2188" t="s">
        <v>858</v>
      </c>
      <c r="F21" s="2188"/>
      <c r="G21" s="2188"/>
      <c r="H21" s="2188"/>
      <c r="I21" s="2188"/>
      <c r="J21" s="2188"/>
      <c r="K21" s="459">
        <v>513672.49</v>
      </c>
      <c r="L21" s="449" t="s">
        <v>859</v>
      </c>
      <c r="M21" s="447">
        <v>131968</v>
      </c>
      <c r="N21" s="49"/>
      <c r="O21" s="443"/>
    </row>
    <row r="22" spans="1:15" s="15" customFormat="1" ht="14.1" customHeight="1">
      <c r="A22" s="52" t="s">
        <v>852</v>
      </c>
      <c r="B22" s="203"/>
      <c r="C22" s="456" t="s">
        <v>860</v>
      </c>
      <c r="D22" s="457" t="s">
        <v>262</v>
      </c>
      <c r="E22" s="2188" t="s">
        <v>861</v>
      </c>
      <c r="F22" s="2188"/>
      <c r="G22" s="2188"/>
      <c r="H22" s="2188"/>
      <c r="I22" s="2188"/>
      <c r="J22" s="2188"/>
      <c r="K22" s="460">
        <v>0</v>
      </c>
      <c r="L22" s="449" t="s">
        <v>859</v>
      </c>
      <c r="M22" s="447">
        <v>68032</v>
      </c>
      <c r="N22" s="49"/>
      <c r="O22" s="205"/>
    </row>
    <row r="23" spans="1:15" s="15" customFormat="1" ht="14.1" customHeight="1">
      <c r="A23" s="52" t="s">
        <v>852</v>
      </c>
      <c r="B23" s="203"/>
      <c r="C23" s="196" t="s">
        <v>862</v>
      </c>
      <c r="D23" s="198" t="s">
        <v>262</v>
      </c>
      <c r="E23" s="194" t="s">
        <v>863</v>
      </c>
      <c r="G23" s="18">
        <v>30359</v>
      </c>
      <c r="I23" s="201"/>
      <c r="J23" s="49"/>
      <c r="K23" s="201">
        <v>9875</v>
      </c>
      <c r="L23" s="50"/>
      <c r="M23" s="49"/>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854</v>
      </c>
      <c r="B26" s="203"/>
      <c r="C26" s="458" t="s">
        <v>865</v>
      </c>
      <c r="D26" s="457" t="s">
        <v>158</v>
      </c>
      <c r="E26" s="2187" t="s">
        <v>866</v>
      </c>
      <c r="F26" s="2187"/>
      <c r="G26" s="2187"/>
      <c r="H26" s="2187"/>
      <c r="I26" s="2187"/>
      <c r="J26" s="2187"/>
      <c r="K26" s="460">
        <v>270530</v>
      </c>
      <c r="L26" s="449" t="s">
        <v>859</v>
      </c>
      <c r="M26" s="447">
        <v>178000</v>
      </c>
      <c r="N26" s="49"/>
      <c r="O26" s="49"/>
    </row>
    <row r="27" spans="1:15" s="15" customFormat="1" ht="14.1" customHeight="1">
      <c r="A27" s="52" t="s">
        <v>854</v>
      </c>
      <c r="B27" s="203"/>
      <c r="C27" s="196" t="s">
        <v>867</v>
      </c>
      <c r="D27" s="198" t="s">
        <v>262</v>
      </c>
      <c r="E27" s="194" t="s">
        <v>868</v>
      </c>
      <c r="G27" s="18">
        <v>30359</v>
      </c>
      <c r="I27" s="201"/>
      <c r="J27" s="49"/>
      <c r="K27" s="201">
        <v>9875</v>
      </c>
      <c r="L27" s="50"/>
      <c r="M27" s="49"/>
      <c r="N27" s="49"/>
      <c r="O27" s="49"/>
    </row>
    <row r="28" spans="1:15" s="15" customFormat="1" ht="14.1" customHeight="1">
      <c r="A28" s="52" t="s">
        <v>854</v>
      </c>
      <c r="B28" s="203"/>
      <c r="C28" s="196" t="s">
        <v>862</v>
      </c>
      <c r="D28" s="198" t="s">
        <v>262</v>
      </c>
      <c r="E28" s="194" t="s">
        <v>869</v>
      </c>
      <c r="G28" s="18">
        <v>29978</v>
      </c>
      <c r="I28" s="201"/>
      <c r="J28" s="49"/>
      <c r="K28" s="201">
        <v>16913</v>
      </c>
      <c r="L28" s="50"/>
      <c r="M28" s="49"/>
      <c r="N28" s="49"/>
      <c r="O28" s="49"/>
    </row>
    <row r="29" spans="1:15" s="15" customFormat="1" ht="14.1" customHeight="1">
      <c r="A29" s="52" t="s">
        <v>854</v>
      </c>
      <c r="B29" s="203"/>
      <c r="C29" s="458" t="s">
        <v>860</v>
      </c>
      <c r="D29" s="457" t="s">
        <v>262</v>
      </c>
      <c r="E29" s="2188" t="s">
        <v>870</v>
      </c>
      <c r="F29" s="2188"/>
      <c r="G29" s="2188"/>
      <c r="H29" s="2188"/>
      <c r="I29" s="2188"/>
      <c r="J29" s="2188"/>
      <c r="K29" s="461">
        <v>0</v>
      </c>
      <c r="L29" s="455" t="s">
        <v>859</v>
      </c>
      <c r="M29" s="447">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96"/>
      <c r="D31" s="198"/>
      <c r="G31" s="200"/>
      <c r="I31" s="201"/>
      <c r="J31" s="49"/>
      <c r="K31" s="202"/>
      <c r="L31" s="50"/>
      <c r="M31" s="322">
        <f>SUM(K20:K31)</f>
        <v>842686.17</v>
      </c>
      <c r="N31" s="49"/>
      <c r="O31" s="49"/>
    </row>
    <row r="32" spans="1:15" s="15" customFormat="1" ht="14.1" customHeight="1">
      <c r="A32" s="16"/>
      <c r="E32" s="17"/>
      <c r="G32" s="18"/>
      <c r="I32" s="49"/>
      <c r="J32" s="49"/>
      <c r="K32" s="202" t="s">
        <v>180</v>
      </c>
      <c r="L32" s="50"/>
      <c r="M32" s="205"/>
      <c r="N32" s="49"/>
      <c r="O32" s="195"/>
    </row>
    <row r="33" spans="1:17" ht="17.7">
      <c r="C33" s="2186" t="s">
        <v>872</v>
      </c>
      <c r="D33" s="2186"/>
      <c r="E33" s="2186"/>
      <c r="F33" s="2186"/>
      <c r="G33" s="2186"/>
      <c r="H33" s="2186"/>
      <c r="I33" s="2186"/>
      <c r="M33" s="448">
        <f>SUM(M21:M29)</f>
        <v>400039</v>
      </c>
    </row>
    <row r="34" spans="1:17" s="15" customFormat="1" ht="14.1" customHeight="1">
      <c r="A34" s="16"/>
      <c r="B34" s="16"/>
      <c r="E34" s="17"/>
      <c r="G34" s="18"/>
      <c r="I34" s="145"/>
      <c r="J34" s="146"/>
      <c r="K34" s="145"/>
      <c r="L34" s="50"/>
      <c r="O34" s="205">
        <f>SUM(K20:K30,M33)</f>
        <v>1242725.17</v>
      </c>
    </row>
    <row r="35" spans="1:17" s="15" customFormat="1" ht="14.1" customHeight="1">
      <c r="A35" s="7" t="s">
        <v>166</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167</v>
      </c>
      <c r="B37" s="9"/>
      <c r="C37" s="9"/>
      <c r="D37" s="9"/>
      <c r="E37" s="10" t="s">
        <v>168</v>
      </c>
      <c r="F37" s="11"/>
      <c r="G37" s="12" t="s">
        <v>169</v>
      </c>
      <c r="H37" s="11"/>
      <c r="I37" s="11" t="s">
        <v>170</v>
      </c>
      <c r="J37" s="11"/>
      <c r="K37" s="11" t="s">
        <v>171</v>
      </c>
      <c r="L37" s="48"/>
      <c r="M37" s="11" t="s">
        <v>172</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854</v>
      </c>
      <c r="C39" s="196" t="s">
        <v>867</v>
      </c>
      <c r="E39" s="17" t="s">
        <v>873</v>
      </c>
      <c r="G39" s="18"/>
      <c r="I39" s="49"/>
      <c r="J39" s="49"/>
      <c r="K39" s="143">
        <v>51323.73</v>
      </c>
      <c r="L39" s="56"/>
      <c r="M39" s="206">
        <v>97893</v>
      </c>
      <c r="N39" s="57"/>
      <c r="O39" s="58"/>
    </row>
    <row r="40" spans="1:17" s="15" customFormat="1" ht="14.1" customHeight="1">
      <c r="A40" s="16" t="s">
        <v>854</v>
      </c>
      <c r="C40" s="196" t="s">
        <v>867</v>
      </c>
      <c r="E40" s="17" t="s">
        <v>874</v>
      </c>
      <c r="G40" s="18"/>
      <c r="I40" s="49"/>
      <c r="J40" s="49"/>
      <c r="K40" s="143">
        <v>17535.72</v>
      </c>
      <c r="L40" s="56"/>
      <c r="M40" s="206">
        <v>81073</v>
      </c>
      <c r="N40" s="57"/>
      <c r="O40" s="58"/>
    </row>
    <row r="41" spans="1:17" s="15" customFormat="1" ht="14.1" customHeight="1">
      <c r="A41" s="16" t="s">
        <v>852</v>
      </c>
      <c r="C41" s="196" t="s">
        <v>867</v>
      </c>
      <c r="E41" s="17" t="s">
        <v>874</v>
      </c>
      <c r="G41" s="18"/>
      <c r="I41" s="49"/>
      <c r="J41" s="49"/>
      <c r="K41" s="143">
        <v>48829.91</v>
      </c>
      <c r="L41" s="56"/>
      <c r="M41" s="206">
        <v>150000</v>
      </c>
      <c r="N41" s="57"/>
      <c r="O41" s="58"/>
    </row>
    <row r="42" spans="1:17" s="15" customFormat="1" ht="13.6" customHeight="1">
      <c r="A42" s="16" t="s">
        <v>852</v>
      </c>
      <c r="C42" s="196" t="s">
        <v>867</v>
      </c>
      <c r="E42" s="17" t="s">
        <v>873</v>
      </c>
      <c r="G42" s="18"/>
      <c r="I42" s="49"/>
      <c r="J42" s="49"/>
      <c r="K42" s="143">
        <v>33767.31</v>
      </c>
      <c r="L42" s="56"/>
      <c r="M42" s="206">
        <v>60526</v>
      </c>
      <c r="N42" s="57"/>
      <c r="O42" s="58"/>
    </row>
    <row r="43" spans="1:17" s="15" customFormat="1" ht="13.6" customHeight="1">
      <c r="A43" s="16"/>
      <c r="E43" s="153"/>
      <c r="G43" s="18"/>
      <c r="I43" s="49"/>
      <c r="J43" s="49"/>
      <c r="K43" s="151" t="s">
        <v>174</v>
      </c>
      <c r="L43" s="56"/>
      <c r="M43" s="147"/>
      <c r="N43" s="57"/>
      <c r="O43" s="58">
        <f>SUM(K39:K42)</f>
        <v>151456.67000000001</v>
      </c>
    </row>
    <row r="44" spans="1:17" s="2" customFormat="1" ht="13.6" customHeight="1">
      <c r="A44" s="24" t="s">
        <v>175</v>
      </c>
      <c r="B44" s="29"/>
      <c r="C44" s="30"/>
      <c r="D44" s="29"/>
      <c r="E44" s="13" t="s">
        <v>176</v>
      </c>
      <c r="F44" s="25"/>
      <c r="G44" s="25" t="s">
        <v>169</v>
      </c>
      <c r="H44" s="26"/>
      <c r="I44" s="25" t="s">
        <v>170</v>
      </c>
      <c r="J44" s="11"/>
      <c r="K44" s="26" t="s">
        <v>177</v>
      </c>
      <c r="L44" s="25"/>
      <c r="M44" s="13" t="s">
        <v>178</v>
      </c>
      <c r="N44" s="11"/>
      <c r="O44" s="27" t="s">
        <v>179</v>
      </c>
      <c r="P44" s="28"/>
      <c r="Q44" s="28"/>
    </row>
    <row r="45" spans="1:17" ht="14.1" customHeight="1">
      <c r="A45" s="16" t="s">
        <v>852</v>
      </c>
      <c r="B45" s="31"/>
      <c r="C45" s="196"/>
      <c r="D45" s="2"/>
      <c r="E45" s="32"/>
      <c r="F45" s="2"/>
      <c r="G45" s="5"/>
      <c r="H45" s="2"/>
      <c r="I45" s="369" t="s">
        <v>180</v>
      </c>
      <c r="J45" s="61"/>
      <c r="K45" s="370" t="s">
        <v>180</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854</v>
      </c>
      <c r="B47" s="31"/>
      <c r="C47" s="196"/>
      <c r="D47" s="2"/>
      <c r="E47" s="32"/>
      <c r="F47" s="2"/>
      <c r="G47" s="5"/>
      <c r="H47" s="2"/>
      <c r="I47" s="369" t="s">
        <v>180</v>
      </c>
      <c r="J47" s="61"/>
      <c r="K47" s="62" t="s">
        <v>180</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181</v>
      </c>
      <c r="B49" s="8"/>
      <c r="C49" s="9"/>
      <c r="D49" s="9"/>
      <c r="E49" s="10" t="s">
        <v>875</v>
      </c>
      <c r="F49" s="11"/>
      <c r="G49" s="64" t="s">
        <v>876</v>
      </c>
      <c r="H49" s="59"/>
      <c r="I49" s="59" t="s">
        <v>186</v>
      </c>
      <c r="J49" s="59"/>
      <c r="K49" s="59" t="s">
        <v>187</v>
      </c>
      <c r="L49" s="48"/>
      <c r="M49" s="59" t="s">
        <v>188</v>
      </c>
      <c r="N49" s="59"/>
      <c r="O49" s="60"/>
    </row>
    <row r="50" spans="1:15" s="15" customFormat="1" ht="14.1" customHeight="1">
      <c r="A50" s="16" t="s">
        <v>877</v>
      </c>
      <c r="C50" s="196" t="s">
        <v>878</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193</v>
      </c>
      <c r="E54" s="17"/>
      <c r="G54" s="18"/>
      <c r="I54" s="49"/>
      <c r="J54" s="49"/>
      <c r="K54" s="49"/>
      <c r="L54" s="50"/>
      <c r="M54" s="57" t="s">
        <v>194</v>
      </c>
      <c r="N54" s="57"/>
      <c r="O54" s="205">
        <f>SUM(O36+O43+O52,K51:K52)</f>
        <v>1564181.8399999999</v>
      </c>
    </row>
    <row r="55" spans="1:15" s="15" customFormat="1" ht="12.95" customHeight="1">
      <c r="A55" s="138"/>
      <c r="E55" s="17"/>
      <c r="G55" s="18"/>
      <c r="I55" s="49"/>
      <c r="J55" s="49"/>
      <c r="K55" s="49"/>
      <c r="L55" s="50"/>
      <c r="M55" s="323" t="s">
        <v>195</v>
      </c>
      <c r="N55" s="57"/>
      <c r="O55" s="438">
        <f>SUM(I50:I52)</f>
        <v>120000</v>
      </c>
    </row>
    <row r="56" spans="1:15" s="15" customFormat="1" ht="12.95" customHeight="1">
      <c r="E56" s="17"/>
      <c r="G56" s="18"/>
      <c r="I56" s="49"/>
      <c r="J56" s="49"/>
      <c r="K56" s="49"/>
      <c r="L56" s="50"/>
      <c r="M56" s="57" t="s">
        <v>196</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9">
    <mergeCell ref="E3:K3"/>
    <mergeCell ref="E4:K4"/>
    <mergeCell ref="G5:J5"/>
    <mergeCell ref="E1:F1"/>
    <mergeCell ref="C33:I33"/>
    <mergeCell ref="E26:J26"/>
    <mergeCell ref="E21:J21"/>
    <mergeCell ref="E22:J22"/>
    <mergeCell ref="E29:J29"/>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
  <sheetViews>
    <sheetView showGridLines="0" workbookViewId="0"/>
  </sheetViews>
  <sheetFormatPr defaultColWidth="8.75" defaultRowHeight="12.45"/>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Y1"/>
  <sheetViews>
    <sheetView showGridLines="0" workbookViewId="0"/>
  </sheetViews>
  <sheetFormatPr defaultColWidth="8.75" defaultRowHeight="12.45"/>
  <cols>
    <col min="1" max="25" width="8.75" style="421"/>
  </cols>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0:V53"/>
  <sheetViews>
    <sheetView showGridLines="0" workbookViewId="0"/>
  </sheetViews>
  <sheetFormatPr defaultRowHeight="12.45"/>
  <cols>
    <col min="1" max="22" width="9.125" style="156"/>
  </cols>
  <sheetData>
    <row r="10" spans="1:1">
      <c r="A10" s="156" t="s">
        <v>266</v>
      </c>
    </row>
    <row r="53" spans="1:1">
      <c r="A53" s="246"/>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C000"/>
  </sheetPr>
  <dimension ref="A1"/>
  <sheetViews>
    <sheetView showGridLines="0" workbookViewId="0"/>
  </sheetViews>
  <sheetFormatPr defaultColWidth="9.125" defaultRowHeight="12.45"/>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1"/>
  </sheetPr>
  <dimension ref="A1:P30"/>
  <sheetViews>
    <sheetView showGridLines="0" workbookViewId="0"/>
  </sheetViews>
  <sheetFormatPr defaultColWidth="8.875" defaultRowHeight="12.45"/>
  <cols>
    <col min="2" max="3" width="11" customWidth="1"/>
    <col min="4" max="4" width="16.625" customWidth="1"/>
    <col min="5" max="5" width="15.125" customWidth="1"/>
    <col min="6" max="6" width="20.75" customWidth="1"/>
    <col min="7" max="7" width="10.75" customWidth="1"/>
    <col min="9" max="9" width="11" customWidth="1"/>
    <col min="10" max="10" width="16.625" customWidth="1"/>
    <col min="11" max="11" width="16.875" customWidth="1"/>
    <col min="12" max="13" width="15" customWidth="1"/>
    <col min="14" max="14" width="21.75" customWidth="1"/>
  </cols>
  <sheetData>
    <row r="1" spans="1:16" ht="20.3">
      <c r="B1" s="1615" t="s">
        <v>901</v>
      </c>
      <c r="C1" s="1615"/>
      <c r="D1" s="1615"/>
      <c r="E1" s="1615"/>
      <c r="F1" s="1615"/>
      <c r="G1" s="1615"/>
      <c r="H1" s="1615"/>
      <c r="I1" s="1615"/>
      <c r="J1" s="1615"/>
      <c r="K1" s="1615"/>
      <c r="L1" s="1615"/>
      <c r="M1" s="1615"/>
      <c r="N1" s="1615"/>
      <c r="O1" s="1615"/>
      <c r="P1" s="942"/>
    </row>
    <row r="3" spans="1:16" ht="20.3">
      <c r="B3" s="2189" t="s">
        <v>902</v>
      </c>
      <c r="C3" s="2189"/>
      <c r="D3" s="2189"/>
      <c r="E3" s="2190"/>
      <c r="F3" s="959">
        <v>1000000</v>
      </c>
      <c r="J3" s="943"/>
      <c r="K3" s="943"/>
      <c r="L3" s="943"/>
      <c r="N3" s="944"/>
      <c r="O3" s="945"/>
    </row>
    <row r="4" spans="1:16" ht="17.7">
      <c r="A4" s="1618" t="s">
        <v>208</v>
      </c>
      <c r="B4" s="1618"/>
      <c r="C4" s="1618"/>
      <c r="D4" s="1618"/>
      <c r="E4" s="960">
        <v>0.04</v>
      </c>
      <c r="F4" s="946">
        <f>E4*F3</f>
        <v>40000</v>
      </c>
      <c r="J4" s="198"/>
      <c r="K4" s="198"/>
      <c r="L4" s="198"/>
      <c r="M4" s="947"/>
      <c r="N4" s="946"/>
    </row>
    <row r="5" spans="1:16" ht="17.7">
      <c r="B5" s="1539" t="s">
        <v>903</v>
      </c>
      <c r="C5" s="1539"/>
      <c r="D5" s="1539"/>
      <c r="F5" s="948">
        <f>F3-F4</f>
        <v>960000</v>
      </c>
      <c r="J5" s="941"/>
      <c r="K5" s="941"/>
      <c r="L5" s="941"/>
      <c r="N5" s="948"/>
    </row>
    <row r="6" spans="1:16" ht="17.7">
      <c r="J6" s="153"/>
      <c r="K6" s="153"/>
      <c r="L6" s="153"/>
      <c r="N6" s="948"/>
    </row>
    <row r="7" spans="1:16" ht="15.05">
      <c r="B7" s="2191" t="s">
        <v>904</v>
      </c>
      <c r="C7" s="2191"/>
      <c r="D7" s="2191"/>
      <c r="E7" s="2191"/>
      <c r="H7" s="1619" t="s">
        <v>211</v>
      </c>
      <c r="I7" s="1619"/>
      <c r="J7" s="1619"/>
      <c r="K7" s="1619"/>
      <c r="L7" s="1619"/>
      <c r="M7" s="1619"/>
      <c r="N7" s="1619"/>
    </row>
    <row r="8" spans="1:16" ht="17.7">
      <c r="J8" s="153"/>
      <c r="K8" s="153"/>
      <c r="L8" s="153"/>
      <c r="N8" s="948"/>
    </row>
    <row r="9" spans="1:16" ht="13.1">
      <c r="D9" s="192" t="s">
        <v>213</v>
      </c>
      <c r="E9" s="192" t="s">
        <v>219</v>
      </c>
      <c r="F9" s="192" t="s">
        <v>214</v>
      </c>
      <c r="H9" s="192"/>
      <c r="I9" s="702" t="s">
        <v>215</v>
      </c>
      <c r="J9" s="192" t="s">
        <v>216</v>
      </c>
      <c r="K9" s="192" t="s">
        <v>217</v>
      </c>
      <c r="L9" s="192" t="s">
        <v>218</v>
      </c>
      <c r="M9" s="192" t="s">
        <v>102</v>
      </c>
      <c r="N9" s="192" t="s">
        <v>214</v>
      </c>
    </row>
    <row r="10" spans="1:16" ht="17.7">
      <c r="B10" s="949" t="s">
        <v>220</v>
      </c>
      <c r="C10" s="950"/>
      <c r="D10" s="951">
        <f>F5</f>
        <v>960000</v>
      </c>
      <c r="E10" s="952">
        <f>F4</f>
        <v>40000</v>
      </c>
      <c r="F10" s="686">
        <f>D10-F4</f>
        <v>920000</v>
      </c>
      <c r="H10" s="952" t="s">
        <v>905</v>
      </c>
      <c r="I10" s="953">
        <v>0.10290000000000001</v>
      </c>
      <c r="J10" s="954">
        <f>D10</f>
        <v>960000</v>
      </c>
      <c r="K10" s="952">
        <f>J10*-I10</f>
        <v>-98784</v>
      </c>
      <c r="L10" s="952">
        <f>J10+K10</f>
        <v>861216</v>
      </c>
      <c r="M10" s="952">
        <f>F4</f>
        <v>40000</v>
      </c>
      <c r="N10" s="686">
        <f>L10-M10</f>
        <v>821216</v>
      </c>
    </row>
    <row r="12" spans="1:16" ht="17.7">
      <c r="B12" s="949" t="s">
        <v>222</v>
      </c>
      <c r="C12" s="950"/>
      <c r="D12" s="951">
        <f>F10</f>
        <v>920000</v>
      </c>
      <c r="E12" s="955">
        <f>F4</f>
        <v>40000</v>
      </c>
      <c r="F12" s="958">
        <f>D12-F4</f>
        <v>880000</v>
      </c>
      <c r="H12" s="952" t="s">
        <v>906</v>
      </c>
      <c r="I12" s="953">
        <v>0.13900000000000001</v>
      </c>
      <c r="J12" s="948">
        <f>N10</f>
        <v>821216</v>
      </c>
      <c r="K12" s="952">
        <f>J12*-I12</f>
        <v>-114149.024</v>
      </c>
      <c r="L12" s="952">
        <f>J12+K12</f>
        <v>707066.97600000002</v>
      </c>
      <c r="M12" s="952">
        <f>F4</f>
        <v>40000</v>
      </c>
      <c r="N12" s="686">
        <f>L12-M12</f>
        <v>667066.97600000002</v>
      </c>
    </row>
    <row r="14" spans="1:16" ht="17.7">
      <c r="B14" s="949" t="s">
        <v>224</v>
      </c>
      <c r="C14" s="950"/>
      <c r="D14" s="948">
        <f>F12</f>
        <v>880000</v>
      </c>
      <c r="E14" s="952">
        <f>F4</f>
        <v>40000</v>
      </c>
      <c r="F14" s="686">
        <f>D14-F4</f>
        <v>840000</v>
      </c>
      <c r="H14" s="952" t="s">
        <v>907</v>
      </c>
      <c r="I14" s="953">
        <v>0.23499999999999999</v>
      </c>
      <c r="J14" s="948">
        <f>N12</f>
        <v>667066.97600000002</v>
      </c>
      <c r="K14" s="952">
        <f>J14*-I14</f>
        <v>-156760.73936000001</v>
      </c>
      <c r="L14" s="952">
        <f>J14+K14</f>
        <v>510306.23664000002</v>
      </c>
      <c r="M14" s="952">
        <f>F4</f>
        <v>40000</v>
      </c>
      <c r="N14" s="686">
        <f>L14-M14</f>
        <v>470306.23664000002</v>
      </c>
    </row>
    <row r="16" spans="1:16" ht="17.7">
      <c r="B16" s="949" t="s">
        <v>226</v>
      </c>
      <c r="C16" s="950"/>
      <c r="D16" s="948">
        <f>F14</f>
        <v>840000</v>
      </c>
      <c r="E16" s="952">
        <f>F4</f>
        <v>40000</v>
      </c>
      <c r="F16" s="686">
        <f>D16-F4</f>
        <v>800000</v>
      </c>
      <c r="H16" s="952" t="s">
        <v>908</v>
      </c>
      <c r="I16" s="957">
        <v>0.26229999999999998</v>
      </c>
      <c r="J16" s="948">
        <f>N14</f>
        <v>470306.23664000002</v>
      </c>
      <c r="K16" s="952">
        <f>J16*I16</f>
        <v>123361.32587067199</v>
      </c>
      <c r="L16" s="952">
        <f>J16+K16</f>
        <v>593667.56251067203</v>
      </c>
      <c r="M16" s="952">
        <f>F4</f>
        <v>40000</v>
      </c>
      <c r="N16" s="686">
        <f>L16-M16</f>
        <v>553667.56251067203</v>
      </c>
    </row>
    <row r="18" spans="2:14" ht="17.7">
      <c r="B18" s="949" t="s">
        <v>228</v>
      </c>
      <c r="C18" s="950"/>
      <c r="D18" s="951">
        <f>F16</f>
        <v>800000</v>
      </c>
      <c r="E18" s="952">
        <f>F4</f>
        <v>40000</v>
      </c>
      <c r="F18" s="686">
        <f>D18-F4</f>
        <v>760000</v>
      </c>
      <c r="H18" s="952" t="s">
        <v>909</v>
      </c>
      <c r="I18" s="957">
        <v>8.8400000000000006E-2</v>
      </c>
      <c r="J18" s="948">
        <f>N16</f>
        <v>553667.56251067203</v>
      </c>
      <c r="K18" s="952">
        <f>J18*I18</f>
        <v>48944.212525943411</v>
      </c>
      <c r="L18" s="952">
        <f>J18+K18</f>
        <v>602611.77503661544</v>
      </c>
      <c r="M18" s="952">
        <f>F4</f>
        <v>40000</v>
      </c>
      <c r="N18" s="686">
        <f>L18-M18</f>
        <v>562611.77503661544</v>
      </c>
    </row>
    <row r="20" spans="2:14" ht="17.7">
      <c r="B20" s="949" t="s">
        <v>230</v>
      </c>
      <c r="C20" s="950"/>
      <c r="D20" s="948">
        <f>F18</f>
        <v>760000</v>
      </c>
      <c r="E20" s="952">
        <f>F4</f>
        <v>40000</v>
      </c>
      <c r="F20" s="686">
        <f>D20-F4</f>
        <v>720000</v>
      </c>
      <c r="H20" s="952" t="s">
        <v>910</v>
      </c>
      <c r="I20" s="957">
        <v>2.8500000000000001E-2</v>
      </c>
      <c r="J20" s="948">
        <f>N18</f>
        <v>562611.77503661544</v>
      </c>
      <c r="K20" s="952">
        <f>J20*I20</f>
        <v>16034.43558854354</v>
      </c>
      <c r="L20" s="952">
        <f>J20+K20</f>
        <v>578646.21062515897</v>
      </c>
      <c r="M20" s="952">
        <f>F4</f>
        <v>40000</v>
      </c>
      <c r="N20" s="686">
        <f>L20-M20</f>
        <v>538646.21062515897</v>
      </c>
    </row>
    <row r="22" spans="2:14" ht="17.7">
      <c r="B22" s="949" t="s">
        <v>232</v>
      </c>
      <c r="C22" s="950"/>
      <c r="D22" s="948">
        <f>F20</f>
        <v>720000</v>
      </c>
      <c r="E22" s="952">
        <f>F4</f>
        <v>40000</v>
      </c>
      <c r="F22" s="686">
        <f>D22-F4</f>
        <v>680000</v>
      </c>
      <c r="H22" s="952" t="s">
        <v>911</v>
      </c>
      <c r="I22" s="957">
        <v>0.13469999999999999</v>
      </c>
      <c r="J22" s="948">
        <f>N20</f>
        <v>538646.21062515897</v>
      </c>
      <c r="K22" s="952">
        <f>J22*I22</f>
        <v>72555.644571208904</v>
      </c>
      <c r="L22" s="952">
        <f>J22+K22</f>
        <v>611201.85519636783</v>
      </c>
      <c r="M22" s="952">
        <f>F4</f>
        <v>40000</v>
      </c>
      <c r="N22" s="686">
        <f>L22-M22</f>
        <v>571201.85519636783</v>
      </c>
    </row>
    <row r="24" spans="2:14" ht="17.7">
      <c r="B24" s="949" t="s">
        <v>234</v>
      </c>
      <c r="C24" s="950"/>
      <c r="D24" s="948">
        <f>F22</f>
        <v>680000</v>
      </c>
      <c r="E24" s="952">
        <f>F4</f>
        <v>40000</v>
      </c>
      <c r="F24" s="686">
        <f>D24-F4</f>
        <v>640000</v>
      </c>
      <c r="H24" s="952" t="s">
        <v>912</v>
      </c>
      <c r="I24" s="957">
        <v>3.3799999999999997E-2</v>
      </c>
      <c r="J24" s="948">
        <f>N22</f>
        <v>571201.85519636783</v>
      </c>
      <c r="K24" s="952">
        <f>J24*I24</f>
        <v>19306.62270563723</v>
      </c>
      <c r="L24" s="952">
        <f>J24+K24</f>
        <v>590508.47790200508</v>
      </c>
      <c r="M24" s="952">
        <f>F4</f>
        <v>40000</v>
      </c>
      <c r="N24" s="686">
        <f>L24-M24</f>
        <v>550508.47790200508</v>
      </c>
    </row>
    <row r="26" spans="2:14" ht="17.7">
      <c r="B26" s="949" t="s">
        <v>236</v>
      </c>
      <c r="C26" s="28"/>
      <c r="D26" s="948">
        <f>F24</f>
        <v>640000</v>
      </c>
      <c r="E26" s="952">
        <f>F4</f>
        <v>40000</v>
      </c>
      <c r="F26" s="686">
        <f>D26-F4</f>
        <v>600000</v>
      </c>
      <c r="H26" s="952" t="s">
        <v>913</v>
      </c>
      <c r="I26" s="953">
        <v>0.38640000000000002</v>
      </c>
      <c r="J26" s="948">
        <f>N24</f>
        <v>550508.47790200508</v>
      </c>
      <c r="K26" s="952">
        <f>J26*-I26</f>
        <v>-212716.47586133477</v>
      </c>
      <c r="L26" s="952">
        <f>J26+K26</f>
        <v>337792.00204067031</v>
      </c>
      <c r="M26" s="952">
        <f>F4</f>
        <v>40000</v>
      </c>
      <c r="N26" s="686">
        <f>L26-M26</f>
        <v>297792.00204067031</v>
      </c>
    </row>
    <row r="28" spans="2:14" ht="17.7">
      <c r="B28" s="949" t="s">
        <v>236</v>
      </c>
      <c r="D28" s="948">
        <f>F26</f>
        <v>600000</v>
      </c>
      <c r="E28" s="952">
        <f>F4</f>
        <v>40000</v>
      </c>
      <c r="F28" s="686">
        <f>D28-F4</f>
        <v>560000</v>
      </c>
    </row>
    <row r="30" spans="2:14" ht="17.7">
      <c r="B30" s="949" t="s">
        <v>914</v>
      </c>
      <c r="D30" s="948">
        <f>F28</f>
        <v>560000</v>
      </c>
      <c r="E30" s="952">
        <f>F4</f>
        <v>40000</v>
      </c>
      <c r="F30" s="686">
        <f>D30-F4</f>
        <v>520000</v>
      </c>
    </row>
  </sheetData>
  <mergeCells count="6">
    <mergeCell ref="B1:O1"/>
    <mergeCell ref="B3:E3"/>
    <mergeCell ref="A4:D4"/>
    <mergeCell ref="B5:D5"/>
    <mergeCell ref="B7:E7"/>
    <mergeCell ref="H7:N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8"/>
  <sheetViews>
    <sheetView showGridLines="0" workbookViewId="0"/>
  </sheetViews>
  <sheetFormatPr defaultColWidth="8.875" defaultRowHeight="12.45"/>
  <cols>
    <col min="2" max="3" width="11" customWidth="1"/>
    <col min="4" max="4" width="16.625" customWidth="1"/>
    <col min="5" max="5" width="15.125" customWidth="1"/>
    <col min="6" max="6" width="20.75" customWidth="1"/>
    <col min="7" max="7" width="10.75" customWidth="1"/>
    <col min="8" max="8" width="15.625" customWidth="1"/>
    <col min="9" max="9" width="11" customWidth="1"/>
    <col min="10" max="10" width="16.625" customWidth="1"/>
    <col min="11" max="11" width="16.875" customWidth="1"/>
    <col min="12" max="12" width="16.125" customWidth="1"/>
    <col min="13" max="13" width="15" customWidth="1"/>
    <col min="14" max="14" width="21.75" customWidth="1"/>
  </cols>
  <sheetData>
    <row r="1" spans="1:16" ht="20.3">
      <c r="B1" s="1615" t="s">
        <v>206</v>
      </c>
      <c r="C1" s="1615"/>
      <c r="D1" s="1615"/>
      <c r="E1" s="1615"/>
      <c r="F1" s="1615"/>
      <c r="G1" s="1615"/>
      <c r="H1" s="1615"/>
      <c r="I1" s="1615"/>
      <c r="J1" s="1615"/>
      <c r="K1" s="1615"/>
      <c r="L1" s="1615"/>
      <c r="M1" s="1615"/>
      <c r="N1" s="1615"/>
      <c r="O1" s="1615"/>
      <c r="P1" s="942"/>
    </row>
    <row r="3" spans="1:16" ht="20.3">
      <c r="B3" s="1616" t="s">
        <v>207</v>
      </c>
      <c r="C3" s="1616"/>
      <c r="D3" s="1616"/>
      <c r="E3" s="1617"/>
      <c r="F3" s="959">
        <f>'Egan Asset Summary'!M30</f>
        <v>188000</v>
      </c>
      <c r="J3" s="943"/>
      <c r="K3" s="943"/>
      <c r="L3" s="943"/>
      <c r="N3" s="944"/>
      <c r="O3" s="945"/>
    </row>
    <row r="4" spans="1:16" ht="17.7">
      <c r="A4" s="1618" t="s">
        <v>208</v>
      </c>
      <c r="B4" s="1618"/>
      <c r="C4" s="1618"/>
      <c r="D4" s="1618"/>
      <c r="E4" s="960">
        <v>0.04</v>
      </c>
      <c r="F4" s="946">
        <f>E4*F3</f>
        <v>7520</v>
      </c>
      <c r="J4" s="198"/>
      <c r="K4" s="198"/>
      <c r="L4" s="198"/>
      <c r="M4" s="947"/>
      <c r="N4" s="946"/>
    </row>
    <row r="5" spans="1:16" ht="17.7">
      <c r="A5" s="1552" t="s">
        <v>209</v>
      </c>
      <c r="B5" s="1552"/>
      <c r="C5" s="1552"/>
      <c r="D5" s="1552"/>
      <c r="E5" s="961">
        <v>0.1938</v>
      </c>
      <c r="F5" s="948">
        <f>F3*E5+F3-F4</f>
        <v>216914.4</v>
      </c>
      <c r="J5" s="941"/>
      <c r="K5" s="941"/>
      <c r="L5" s="941"/>
      <c r="N5" s="948"/>
    </row>
    <row r="6" spans="1:16" ht="17.7">
      <c r="A6" s="1551"/>
      <c r="B6" s="1551"/>
      <c r="C6" s="1551"/>
      <c r="D6" s="1551"/>
      <c r="E6" s="963"/>
      <c r="J6" s="153"/>
      <c r="K6" s="153"/>
      <c r="L6" s="153"/>
      <c r="N6" s="948"/>
    </row>
    <row r="7" spans="1:16" ht="15.05">
      <c r="A7" s="1551" t="s">
        <v>210</v>
      </c>
      <c r="B7" s="1551"/>
      <c r="C7" s="1551"/>
      <c r="D7" s="1551"/>
      <c r="E7" s="1551"/>
      <c r="F7" s="1551"/>
      <c r="H7" s="1619" t="s">
        <v>211</v>
      </c>
      <c r="I7" s="1619"/>
      <c r="J7" s="1619"/>
      <c r="K7" s="1619"/>
      <c r="L7" s="1619"/>
      <c r="M7" s="1619"/>
      <c r="N7" s="1619"/>
    </row>
    <row r="8" spans="1:16" ht="17.7">
      <c r="A8" s="1551" t="s">
        <v>212</v>
      </c>
      <c r="B8" s="1551"/>
      <c r="C8" s="1551"/>
      <c r="D8" s="1551"/>
      <c r="E8" s="1551"/>
      <c r="F8" s="1551"/>
      <c r="J8" s="153"/>
      <c r="K8" s="153"/>
      <c r="L8" s="153"/>
      <c r="N8" s="948"/>
    </row>
    <row r="9" spans="1:16" ht="13.1">
      <c r="D9" s="192" t="s">
        <v>213</v>
      </c>
      <c r="E9" s="192" t="s">
        <v>102</v>
      </c>
      <c r="F9" s="192" t="s">
        <v>214</v>
      </c>
      <c r="H9" s="192"/>
      <c r="I9" s="702" t="s">
        <v>215</v>
      </c>
      <c r="J9" s="192" t="s">
        <v>216</v>
      </c>
      <c r="K9" s="192" t="s">
        <v>217</v>
      </c>
      <c r="L9" s="192" t="s">
        <v>218</v>
      </c>
      <c r="M9" s="192" t="s">
        <v>219</v>
      </c>
      <c r="N9" s="192" t="s">
        <v>214</v>
      </c>
    </row>
    <row r="10" spans="1:16" ht="17.7">
      <c r="B10" s="949" t="s">
        <v>220</v>
      </c>
      <c r="C10" s="950"/>
      <c r="D10" s="951">
        <f>F5</f>
        <v>216914.4</v>
      </c>
      <c r="E10" s="952">
        <f>F4</f>
        <v>7520</v>
      </c>
      <c r="F10" s="191">
        <f>D10-F4</f>
        <v>209394.4</v>
      </c>
      <c r="H10" s="952" t="s">
        <v>221</v>
      </c>
      <c r="I10" s="953">
        <v>0.10290000000000001</v>
      </c>
      <c r="J10" s="962">
        <f>D10</f>
        <v>216914.4</v>
      </c>
      <c r="K10" s="952">
        <f>J10*-I10</f>
        <v>-22320.491760000001</v>
      </c>
      <c r="L10" s="952">
        <f>J10+K10</f>
        <v>194593.90823999999</v>
      </c>
      <c r="M10" s="964">
        <f>F4</f>
        <v>7520</v>
      </c>
      <c r="N10" s="686">
        <f>L10-M10</f>
        <v>187073.90823999999</v>
      </c>
    </row>
    <row r="12" spans="1:16" ht="17.7">
      <c r="B12" s="949" t="s">
        <v>222</v>
      </c>
      <c r="C12" s="950"/>
      <c r="D12" s="951">
        <f>F10</f>
        <v>209394.4</v>
      </c>
      <c r="E12" s="955">
        <f>F4</f>
        <v>7520</v>
      </c>
      <c r="F12" s="956">
        <f>D12-F4</f>
        <v>201874.4</v>
      </c>
      <c r="H12" s="952" t="s">
        <v>223</v>
      </c>
      <c r="I12" s="953">
        <v>0.13900000000000001</v>
      </c>
      <c r="J12" s="191">
        <f>N10</f>
        <v>187073.90823999999</v>
      </c>
      <c r="K12" s="952">
        <f>J12*-I12</f>
        <v>-26003.27324536</v>
      </c>
      <c r="L12" s="952">
        <f>J12+K12</f>
        <v>161070.63499463999</v>
      </c>
      <c r="M12" s="964">
        <f>F4</f>
        <v>7520</v>
      </c>
      <c r="N12" s="686">
        <f>L12-M12</f>
        <v>153550.63499463999</v>
      </c>
    </row>
    <row r="14" spans="1:16" ht="17.7">
      <c r="B14" s="949" t="s">
        <v>224</v>
      </c>
      <c r="C14" s="950"/>
      <c r="D14" s="948">
        <f>F12</f>
        <v>201874.4</v>
      </c>
      <c r="E14" s="952">
        <f>F4</f>
        <v>7520</v>
      </c>
      <c r="F14" s="191">
        <f>D14-F4</f>
        <v>194354.4</v>
      </c>
      <c r="H14" s="952" t="s">
        <v>225</v>
      </c>
      <c r="I14" s="953">
        <v>0.23499999999999999</v>
      </c>
      <c r="J14" s="191">
        <f>N12</f>
        <v>153550.63499463999</v>
      </c>
      <c r="K14" s="952">
        <f>J14*-I14</f>
        <v>-36084.399223740395</v>
      </c>
      <c r="L14" s="952">
        <f>J14+K14</f>
        <v>117466.2357708996</v>
      </c>
      <c r="M14" s="964">
        <f>F4</f>
        <v>7520</v>
      </c>
      <c r="N14" s="686">
        <f>L14-M14</f>
        <v>109946.2357708996</v>
      </c>
    </row>
    <row r="16" spans="1:16" ht="17.7">
      <c r="B16" s="949" t="s">
        <v>226</v>
      </c>
      <c r="C16" s="950"/>
      <c r="D16" s="948">
        <f>F14</f>
        <v>194354.4</v>
      </c>
      <c r="E16" s="952">
        <f>F4</f>
        <v>7520</v>
      </c>
      <c r="F16" s="191">
        <f>D16-F4</f>
        <v>186834.4</v>
      </c>
      <c r="H16" s="952" t="s">
        <v>227</v>
      </c>
      <c r="I16" s="957">
        <v>0.26229999999999998</v>
      </c>
      <c r="J16" s="191">
        <f>N14</f>
        <v>109946.2357708996</v>
      </c>
      <c r="K16" s="952">
        <f>J16*I16</f>
        <v>28838.897642706961</v>
      </c>
      <c r="L16" s="952">
        <f>J16+K16</f>
        <v>138785.13341360656</v>
      </c>
      <c r="M16" s="964">
        <f>F4</f>
        <v>7520</v>
      </c>
      <c r="N16" s="686">
        <f>L16-M16</f>
        <v>131265.13341360656</v>
      </c>
    </row>
    <row r="18" spans="2:14" ht="17.7">
      <c r="B18" s="949" t="s">
        <v>228</v>
      </c>
      <c r="C18" s="950"/>
      <c r="D18" s="951">
        <f>F16</f>
        <v>186834.4</v>
      </c>
      <c r="E18" s="952">
        <f>F4</f>
        <v>7520</v>
      </c>
      <c r="F18" s="191">
        <f>D18-F4</f>
        <v>179314.4</v>
      </c>
      <c r="H18" s="952" t="s">
        <v>229</v>
      </c>
      <c r="I18" s="957">
        <v>8.8400000000000006E-2</v>
      </c>
      <c r="J18" s="191">
        <f>N16</f>
        <v>131265.13341360656</v>
      </c>
      <c r="K18" s="952">
        <f>J18*I18</f>
        <v>11603.837793762821</v>
      </c>
      <c r="L18" s="952">
        <f>J18+K18</f>
        <v>142868.97120736938</v>
      </c>
      <c r="M18" s="964">
        <f>F4</f>
        <v>7520</v>
      </c>
      <c r="N18" s="686">
        <f>L18-M18</f>
        <v>135348.97120736938</v>
      </c>
    </row>
    <row r="20" spans="2:14" ht="17.7">
      <c r="B20" s="949" t="s">
        <v>230</v>
      </c>
      <c r="C20" s="950"/>
      <c r="D20" s="948">
        <f>F18</f>
        <v>179314.4</v>
      </c>
      <c r="E20" s="952">
        <f>F4</f>
        <v>7520</v>
      </c>
      <c r="F20" s="191">
        <f>D20-F4</f>
        <v>171794.4</v>
      </c>
      <c r="H20" s="952" t="s">
        <v>231</v>
      </c>
      <c r="I20" s="957">
        <v>2.8500000000000001E-2</v>
      </c>
      <c r="J20" s="191">
        <f>N18</f>
        <v>135348.97120736938</v>
      </c>
      <c r="K20" s="952">
        <f>J20*I20</f>
        <v>3857.4456794100274</v>
      </c>
      <c r="L20" s="952">
        <f>J20+K20</f>
        <v>139206.41688677942</v>
      </c>
      <c r="M20" s="964">
        <f>F4</f>
        <v>7520</v>
      </c>
      <c r="N20" s="686">
        <f>L20-M20</f>
        <v>131686.41688677942</v>
      </c>
    </row>
    <row r="22" spans="2:14" ht="17.7">
      <c r="B22" s="949" t="s">
        <v>232</v>
      </c>
      <c r="C22" s="950"/>
      <c r="D22" s="948">
        <f>F20</f>
        <v>171794.4</v>
      </c>
      <c r="E22" s="952">
        <f>F4</f>
        <v>7520</v>
      </c>
      <c r="F22" s="191">
        <f>D22-F4</f>
        <v>164274.4</v>
      </c>
      <c r="H22" s="952" t="s">
        <v>233</v>
      </c>
      <c r="I22" s="957">
        <v>0.13469999999999999</v>
      </c>
      <c r="J22" s="191">
        <f>N20</f>
        <v>131686.41688677942</v>
      </c>
      <c r="K22" s="952">
        <f>J22*I22</f>
        <v>17738.160354649186</v>
      </c>
      <c r="L22" s="952">
        <f>J22+K22</f>
        <v>149424.5772414286</v>
      </c>
      <c r="M22" s="964">
        <f>F4</f>
        <v>7520</v>
      </c>
      <c r="N22" s="686">
        <f>L22-M22</f>
        <v>141904.5772414286</v>
      </c>
    </row>
    <row r="24" spans="2:14" ht="17.7">
      <c r="B24" s="949" t="s">
        <v>234</v>
      </c>
      <c r="C24" s="950"/>
      <c r="D24" s="948">
        <f>F22</f>
        <v>164274.4</v>
      </c>
      <c r="E24" s="952">
        <f>F4</f>
        <v>7520</v>
      </c>
      <c r="F24" s="191">
        <f>D24-F4</f>
        <v>156754.4</v>
      </c>
      <c r="H24" s="952" t="s">
        <v>235</v>
      </c>
      <c r="I24" s="957">
        <v>3.3799999999999997E-2</v>
      </c>
      <c r="J24" s="191">
        <f>N22</f>
        <v>141904.5772414286</v>
      </c>
      <c r="K24" s="952">
        <f>J24*I24</f>
        <v>4796.3747107602867</v>
      </c>
      <c r="L24" s="952">
        <f>J24+K24</f>
        <v>146700.95195218889</v>
      </c>
      <c r="M24" s="964">
        <f>F4</f>
        <v>7520</v>
      </c>
      <c r="N24" s="686">
        <f>L24-M24</f>
        <v>139180.95195218889</v>
      </c>
    </row>
    <row r="26" spans="2:14" ht="17.7">
      <c r="B26" s="949" t="s">
        <v>236</v>
      </c>
      <c r="C26" s="28"/>
      <c r="D26" s="948">
        <f>F24</f>
        <v>156754.4</v>
      </c>
      <c r="E26" s="952">
        <f>F4</f>
        <v>7520</v>
      </c>
      <c r="F26" s="191">
        <f>D26-F4</f>
        <v>149234.4</v>
      </c>
      <c r="H26" s="952" t="s">
        <v>237</v>
      </c>
      <c r="I26" s="953">
        <v>0.38640000000000002</v>
      </c>
      <c r="J26" s="191">
        <f>N24</f>
        <v>139180.95195218889</v>
      </c>
      <c r="K26" s="952">
        <f>J26*-I26</f>
        <v>-53779.519834325787</v>
      </c>
      <c r="L26" s="952">
        <f>J26+K26</f>
        <v>85401.432117863093</v>
      </c>
      <c r="M26" s="964">
        <f>F4</f>
        <v>7520</v>
      </c>
      <c r="N26" s="686">
        <f>L26-M26</f>
        <v>77881.432117863093</v>
      </c>
    </row>
    <row r="28" spans="2:14" ht="17.7">
      <c r="H28" s="952" t="s">
        <v>238</v>
      </c>
      <c r="I28" s="953">
        <v>0.59</v>
      </c>
      <c r="J28" s="191">
        <f>N26</f>
        <v>77881.432117863093</v>
      </c>
      <c r="K28" s="952">
        <f>J28*-I28</f>
        <v>-45950.044949539224</v>
      </c>
      <c r="L28" s="952">
        <f>J28+K28</f>
        <v>31931.387168323869</v>
      </c>
      <c r="M28" s="964">
        <f>F4</f>
        <v>7520</v>
      </c>
      <c r="N28" s="686">
        <f>L28-M28</f>
        <v>24411.387168323869</v>
      </c>
    </row>
  </sheetData>
  <mergeCells count="8">
    <mergeCell ref="A8:F8"/>
    <mergeCell ref="B1:O1"/>
    <mergeCell ref="B3:E3"/>
    <mergeCell ref="A4:D4"/>
    <mergeCell ref="A5:D5"/>
    <mergeCell ref="A6:D6"/>
    <mergeCell ref="A7:F7"/>
    <mergeCell ref="H7:N7"/>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
  <sheetViews>
    <sheetView showGridLines="0" workbookViewId="0"/>
  </sheetViews>
  <sheetFormatPr defaultRowHeight="12.45"/>
  <sheetData/>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
  <sheetViews>
    <sheetView showGridLines="0" workbookViewId="0"/>
  </sheetViews>
  <sheetFormatPr defaultRowHeight="12.45"/>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
  <sheetViews>
    <sheetView showGridLines="0" workbookViewId="0"/>
  </sheetViews>
  <sheetFormatPr defaultRowHeight="12.45"/>
  <sheetData/>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Q31:R91"/>
  <sheetViews>
    <sheetView showGridLines="0" workbookViewId="0"/>
  </sheetViews>
  <sheetFormatPr defaultColWidth="9.125" defaultRowHeight="12.45"/>
  <cols>
    <col min="17" max="17" width="10.75" customWidth="1"/>
  </cols>
  <sheetData>
    <row r="31" spans="17:18" ht="20.3">
      <c r="Q31" s="424">
        <f>Suitability!Q31</f>
        <v>9</v>
      </c>
      <c r="R31" s="425">
        <f>Suitability!R31</f>
        <v>9</v>
      </c>
    </row>
    <row r="45" spans="17:17" ht="20.3">
      <c r="Q45" s="387">
        <f>Suitability!Q45</f>
        <v>-56</v>
      </c>
    </row>
    <row r="58" spans="17:18" ht="20.3">
      <c r="Q58" s="424">
        <f>Suitability!Q58</f>
        <v>10</v>
      </c>
      <c r="R58" s="425">
        <f>Suitability!R58</f>
        <v>10</v>
      </c>
    </row>
    <row r="80" spans="17:18" ht="20.3">
      <c r="Q80" s="424">
        <f>Suitability!Q80</f>
        <v>10</v>
      </c>
      <c r="R80" s="425">
        <f>Suitability!R80</f>
        <v>10</v>
      </c>
    </row>
    <row r="83" spans="17:18" ht="20.3">
      <c r="Q83" s="426" t="s">
        <v>301</v>
      </c>
      <c r="R83" s="427" t="s">
        <v>301</v>
      </c>
    </row>
    <row r="88" spans="17:18" ht="20.3">
      <c r="Q88" s="424">
        <f>Suitability!Q88</f>
        <v>10</v>
      </c>
      <c r="R88" s="425">
        <f>Suitability!R88</f>
        <v>10</v>
      </c>
    </row>
    <row r="91" spans="17:18" ht="20.3">
      <c r="Q91" s="428" t="str">
        <f>Suitability!Q91</f>
        <v>30 days</v>
      </c>
    </row>
  </sheetData>
  <dataValidations count="3">
    <dataValidation type="list" allowBlank="1" showInputMessage="1" showErrorMessage="1" sqref="Q83:R83" xr:uid="{00000000-0002-0000-6D00-000000000000}">
      <formula1>"Yes, No"</formula1>
    </dataValidation>
    <dataValidation type="list" allowBlank="1" showInputMessage="1" showErrorMessage="1" sqref="Q91" xr:uid="{00000000-0002-0000-6D00-000001000000}">
      <formula1>"30 days, Jan, Feb, Mar, April, May, June, July, Aug, Sept, Oct, Nov, Dec"</formula1>
    </dataValidation>
    <dataValidation type="list" allowBlank="1" showInputMessage="1" showErrorMessage="1" sqref="Q31:R31 Q58:R58 Q88:R88 Q80:R80" xr:uid="{00000000-0002-0000-6D00-000002000000}">
      <formula1>"1,2,3,4,5,6,7,8,9,10"</formula1>
    </dataValidation>
  </dataValidation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
  <sheetViews>
    <sheetView showGridLines="0" workbookViewId="0"/>
  </sheetViews>
  <sheetFormatPr defaultColWidth="9.125" defaultRowHeight="12.45"/>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1" tint="0.34998626667073579"/>
  </sheetPr>
  <dimension ref="A1:D12"/>
  <sheetViews>
    <sheetView showGridLines="0" workbookViewId="0"/>
  </sheetViews>
  <sheetFormatPr defaultRowHeight="12.45"/>
  <cols>
    <col min="1" max="1" width="30.75" customWidth="1"/>
    <col min="2" max="2" width="14" customWidth="1"/>
  </cols>
  <sheetData>
    <row r="1" spans="1:4">
      <c r="A1" s="34" t="s">
        <v>72</v>
      </c>
      <c r="B1" s="68">
        <v>14000</v>
      </c>
      <c r="D1" t="s">
        <v>472</v>
      </c>
    </row>
    <row r="2" spans="1:4">
      <c r="A2" s="35" t="s">
        <v>74</v>
      </c>
      <c r="B2" s="68">
        <v>495035</v>
      </c>
    </row>
    <row r="3" spans="1:4">
      <c r="A3" s="33" t="s">
        <v>73</v>
      </c>
      <c r="B3" s="3">
        <v>0</v>
      </c>
    </row>
    <row r="4" spans="1:4">
      <c r="B4" s="3">
        <f>SUM(B1:B3)</f>
        <v>509035</v>
      </c>
    </row>
    <row r="6" spans="1:4">
      <c r="A6" s="42" t="s">
        <v>72</v>
      </c>
      <c r="B6" s="68">
        <v>14000</v>
      </c>
      <c r="D6" t="s">
        <v>915</v>
      </c>
    </row>
    <row r="7" spans="1:4">
      <c r="A7" s="43" t="s">
        <v>73</v>
      </c>
      <c r="B7" s="68">
        <v>138900</v>
      </c>
    </row>
    <row r="8" spans="1:4">
      <c r="A8" s="43" t="s">
        <v>73</v>
      </c>
      <c r="B8" s="68">
        <v>244000</v>
      </c>
    </row>
    <row r="9" spans="1:4">
      <c r="A9" s="41" t="s">
        <v>74</v>
      </c>
      <c r="B9" s="68">
        <v>112135</v>
      </c>
    </row>
    <row r="10" spans="1:4">
      <c r="A10" s="41" t="s">
        <v>74</v>
      </c>
      <c r="B10" s="68">
        <v>0</v>
      </c>
    </row>
    <row r="11" spans="1:4">
      <c r="B11" s="3"/>
    </row>
    <row r="12" spans="1:4">
      <c r="B12" s="6">
        <f>SUM(B6:B11)</f>
        <v>509035</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4" tint="-0.499954222235786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916</v>
      </c>
      <c r="E1" s="2196"/>
      <c r="F1" s="2196"/>
      <c r="G1" s="2196"/>
      <c r="H1" s="2196"/>
      <c r="I1" s="2196"/>
      <c r="J1" s="2196"/>
      <c r="K1" s="2196"/>
      <c r="L1" s="2196"/>
      <c r="M1" s="2196"/>
    </row>
    <row r="2" spans="1:13" ht="18.350000000000001">
      <c r="A2" s="296">
        <v>39000</v>
      </c>
      <c r="B2" s="298">
        <v>578000</v>
      </c>
      <c r="C2" s="297">
        <v>162420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f>'AS with changes'!O3</f>
        <v>75000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7" spans="1:13" ht="18.350000000000001">
      <c r="I7" s="2199" t="s">
        <v>917</v>
      </c>
      <c r="J7" s="2200"/>
      <c r="K7" s="2200"/>
      <c r="L7" s="2200"/>
      <c r="M7" s="2200"/>
    </row>
    <row r="8" spans="1:13" ht="20.3">
      <c r="I8" s="350" t="s">
        <v>918</v>
      </c>
      <c r="J8" s="231" t="s">
        <v>145</v>
      </c>
      <c r="K8" s="232" t="s">
        <v>785</v>
      </c>
      <c r="L8" s="348" t="s">
        <v>786</v>
      </c>
      <c r="M8" s="319"/>
    </row>
    <row r="9" spans="1:13" ht="18.350000000000001">
      <c r="I9" s="320" t="s">
        <v>800</v>
      </c>
      <c r="J9" s="236">
        <f>J3</f>
        <v>75000</v>
      </c>
      <c r="K9" s="236">
        <f>J3</f>
        <v>75000</v>
      </c>
      <c r="L9" s="236">
        <f>J3</f>
        <v>75000</v>
      </c>
      <c r="M9" s="157"/>
    </row>
    <row r="10" spans="1:13" ht="17.7">
      <c r="I10" s="238" t="s">
        <v>84</v>
      </c>
      <c r="J10" s="321">
        <v>69826.86</v>
      </c>
      <c r="K10" s="240">
        <v>58588.55</v>
      </c>
      <c r="L10" s="241">
        <v>59266.59</v>
      </c>
      <c r="M10" s="157"/>
    </row>
    <row r="11" spans="1:13" ht="18.350000000000001">
      <c r="I11" s="265" t="s">
        <v>802</v>
      </c>
      <c r="J11" s="243">
        <f>J9-J10</f>
        <v>5173.1399999999994</v>
      </c>
      <c r="K11" s="261">
        <f>K9-K10</f>
        <v>16411.449999999997</v>
      </c>
      <c r="L11" s="261">
        <f>L9-L10</f>
        <v>15733.410000000003</v>
      </c>
      <c r="M11" s="286"/>
    </row>
    <row r="12" spans="1:13" ht="15.75">
      <c r="I12" s="2104"/>
      <c r="J12" s="2104"/>
      <c r="K12" s="2104"/>
      <c r="L12" s="2104"/>
      <c r="M12" s="2104"/>
    </row>
    <row r="13" spans="1:13" ht="18.350000000000001">
      <c r="I13" s="2199" t="s">
        <v>919</v>
      </c>
      <c r="J13" s="2199"/>
      <c r="K13" s="2199"/>
      <c r="L13" s="2199"/>
      <c r="M13" s="2199"/>
    </row>
    <row r="14" spans="1:13" ht="20.3">
      <c r="I14" s="350" t="s">
        <v>918</v>
      </c>
      <c r="J14" s="231" t="s">
        <v>145</v>
      </c>
      <c r="K14" s="232" t="s">
        <v>785</v>
      </c>
      <c r="L14" s="348" t="s">
        <v>786</v>
      </c>
      <c r="M14" s="319"/>
    </row>
    <row r="15" spans="1:13" ht="18.350000000000001">
      <c r="I15" s="320" t="s">
        <v>800</v>
      </c>
      <c r="J15" s="236">
        <f>J9</f>
        <v>75000</v>
      </c>
      <c r="K15" s="236">
        <f>J9</f>
        <v>75000</v>
      </c>
      <c r="L15" s="236">
        <f>J9</f>
        <v>75000</v>
      </c>
      <c r="M15" s="157"/>
    </row>
    <row r="16" spans="1:13" ht="17.7">
      <c r="I16" s="238" t="s">
        <v>84</v>
      </c>
      <c r="J16" s="239">
        <v>72532.67</v>
      </c>
      <c r="K16" s="240">
        <v>61294.36</v>
      </c>
      <c r="L16" s="241">
        <v>63369.04</v>
      </c>
      <c r="M16" s="354"/>
    </row>
    <row r="17" spans="9:14" ht="18.350000000000001">
      <c r="I17" s="265" t="s">
        <v>802</v>
      </c>
      <c r="J17" s="243">
        <f>J15-J16</f>
        <v>2467.3300000000017</v>
      </c>
      <c r="K17" s="261">
        <f>K15-K16</f>
        <v>13705.64</v>
      </c>
      <c r="L17" s="261">
        <f>L15-L16</f>
        <v>11630.96</v>
      </c>
      <c r="M17" s="288"/>
    </row>
    <row r="18" spans="9:14" ht="14.4">
      <c r="I18" s="288"/>
      <c r="J18" s="288"/>
      <c r="K18" s="288"/>
      <c r="L18" s="288"/>
      <c r="M18" s="288"/>
    </row>
    <row r="19" spans="9:14" ht="18.350000000000001">
      <c r="I19" s="2162" t="s">
        <v>920</v>
      </c>
      <c r="J19" s="2162"/>
      <c r="K19" s="2162"/>
      <c r="L19" s="2162"/>
      <c r="M19" s="2162"/>
    </row>
    <row r="20" spans="9:14" ht="18.350000000000001">
      <c r="I20" s="318"/>
      <c r="J20" s="317" t="s">
        <v>145</v>
      </c>
      <c r="K20" s="232" t="s">
        <v>785</v>
      </c>
      <c r="L20" s="233" t="s">
        <v>786</v>
      </c>
      <c r="M20" s="349"/>
    </row>
    <row r="21" spans="9:14" ht="18.350000000000001">
      <c r="I21" s="315" t="s">
        <v>800</v>
      </c>
      <c r="J21" s="236">
        <f>J15</f>
        <v>75000</v>
      </c>
      <c r="K21" s="236">
        <f>J15</f>
        <v>75000</v>
      </c>
      <c r="L21" s="236">
        <f>J15</f>
        <v>75000</v>
      </c>
      <c r="M21" s="349"/>
    </row>
    <row r="22" spans="9:14" ht="17.7">
      <c r="I22" s="314" t="s">
        <v>84</v>
      </c>
      <c r="J22" s="316">
        <v>45140.63</v>
      </c>
      <c r="K22" s="240">
        <v>33902.32</v>
      </c>
      <c r="L22" s="241">
        <v>34580.36</v>
      </c>
      <c r="M22" s="349"/>
    </row>
    <row r="23" spans="9:14" ht="18.350000000000001">
      <c r="I23" s="265" t="s">
        <v>802</v>
      </c>
      <c r="J23" s="243">
        <f>J21-J22</f>
        <v>29859.370000000003</v>
      </c>
      <c r="K23" s="261">
        <f>K21-K22</f>
        <v>41097.68</v>
      </c>
      <c r="L23" s="261">
        <f>L21-L22</f>
        <v>40419.64</v>
      </c>
      <c r="M23" s="284"/>
    </row>
    <row r="24" spans="9:14" ht="15.75">
      <c r="I24" s="2201"/>
      <c r="J24" s="2201"/>
      <c r="K24" s="2201"/>
      <c r="L24" s="2201"/>
      <c r="M24" s="2201"/>
    </row>
    <row r="25" spans="9:14" ht="20.3">
      <c r="I25" s="2194" t="s">
        <v>921</v>
      </c>
      <c r="J25" s="2194"/>
      <c r="K25" s="2194"/>
      <c r="L25" s="2194"/>
      <c r="M25" s="2194"/>
    </row>
    <row r="26" spans="9:14" ht="18.649999999999999" customHeight="1">
      <c r="I26" s="2194" t="s">
        <v>922</v>
      </c>
      <c r="J26" s="2194"/>
      <c r="K26" s="2194"/>
      <c r="L26" s="2194"/>
      <c r="M26" s="2194"/>
    </row>
    <row r="27" spans="9:14" ht="15.05" customHeight="1">
      <c r="I27" s="2171"/>
      <c r="J27" s="2171"/>
      <c r="K27" s="2171"/>
      <c r="L27" s="2171"/>
      <c r="M27" s="2171"/>
      <c r="N27" s="211"/>
    </row>
    <row r="28" spans="9:14" ht="13.6" customHeight="1">
      <c r="I28" s="2171"/>
      <c r="J28" s="2171"/>
      <c r="K28" s="2171"/>
      <c r="L28" s="2171"/>
      <c r="M28" s="2171"/>
    </row>
    <row r="29" spans="9:14" ht="15.05">
      <c r="I29" s="1575"/>
      <c r="J29" s="1575"/>
      <c r="K29" s="1575"/>
      <c r="L29" s="1575"/>
      <c r="M29" s="1575"/>
    </row>
    <row r="30" spans="9:14" ht="15.05">
      <c r="I30" s="2171"/>
      <c r="J30" s="2171"/>
      <c r="K30" s="2171"/>
      <c r="L30" s="2171"/>
      <c r="M30" s="2171"/>
    </row>
    <row r="31" spans="9:14" ht="15.05">
      <c r="I31" s="2171"/>
      <c r="J31" s="2171"/>
      <c r="K31" s="2171"/>
      <c r="L31" s="2171"/>
      <c r="M31" s="2171"/>
    </row>
    <row r="32" spans="9:14" ht="18.649999999999999" customHeight="1">
      <c r="I32" s="2171"/>
      <c r="J32" s="2171"/>
      <c r="K32" s="2171"/>
      <c r="L32" s="2171"/>
      <c r="M32" s="2171"/>
    </row>
    <row r="33" spans="9:13" ht="18.649999999999999" customHeight="1">
      <c r="I33" s="2171"/>
      <c r="J33" s="2171"/>
      <c r="K33" s="2171"/>
      <c r="L33" s="2171"/>
      <c r="M33" s="2171"/>
    </row>
    <row r="34" spans="9:13" ht="20.3">
      <c r="I34" s="2192"/>
      <c r="J34" s="2192"/>
      <c r="K34" s="2192"/>
      <c r="L34" s="2192"/>
      <c r="M34" s="2192"/>
    </row>
    <row r="35" spans="9:13" ht="20.3">
      <c r="I35" s="2192"/>
      <c r="J35" s="2192"/>
      <c r="K35" s="2192"/>
      <c r="L35" s="2192"/>
      <c r="M35" s="2192"/>
    </row>
    <row r="36" spans="9:13" ht="18.350000000000001">
      <c r="I36" s="2193"/>
      <c r="J36" s="2193"/>
      <c r="K36" s="2193"/>
      <c r="L36" s="2193"/>
      <c r="M36" s="219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3">
    <mergeCell ref="I26:M26"/>
    <mergeCell ref="D1:M1"/>
    <mergeCell ref="D2:M2"/>
    <mergeCell ref="D3:I3"/>
    <mergeCell ref="I4:M4"/>
    <mergeCell ref="I5:M5"/>
    <mergeCell ref="I7:M7"/>
    <mergeCell ref="I12:M12"/>
    <mergeCell ref="I13:M13"/>
    <mergeCell ref="I19:M19"/>
    <mergeCell ref="I24:M24"/>
    <mergeCell ref="I25:M25"/>
    <mergeCell ref="I33:M33"/>
    <mergeCell ref="I34:M34"/>
    <mergeCell ref="I36:M36"/>
    <mergeCell ref="I37:M37"/>
    <mergeCell ref="I27:M27"/>
    <mergeCell ref="I28:M28"/>
    <mergeCell ref="I29:M29"/>
    <mergeCell ref="I30:M30"/>
    <mergeCell ref="I31:M31"/>
    <mergeCell ref="I32:M32"/>
    <mergeCell ref="I35:M35"/>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C1" s="209"/>
      <c r="N1" s="210"/>
    </row>
    <row r="2" spans="1:25" ht="20.3">
      <c r="A2" s="302"/>
      <c r="B2" s="304"/>
      <c r="C2" s="329"/>
      <c r="D2" s="330"/>
      <c r="E2" s="2175" t="str" cm="1">
        <f t="array" ref="E2:K2">'AS with changes'!E3:K3</f>
        <v>William C Ross and Catherine A Ross</v>
      </c>
      <c r="F2" s="2176">
        <v>0</v>
      </c>
      <c r="G2" s="2176">
        <v>0</v>
      </c>
      <c r="H2" s="2176">
        <v>0</v>
      </c>
      <c r="I2" s="2176">
        <v>0</v>
      </c>
      <c r="J2" s="2176">
        <v>0</v>
      </c>
      <c r="K2" s="2176">
        <v>0</v>
      </c>
      <c r="L2" s="313"/>
      <c r="M2" s="330"/>
      <c r="N2" s="310">
        <f>'AS with changes'!G1</f>
        <v>42677</v>
      </c>
    </row>
    <row r="3" spans="1:25" ht="24.05" customHeight="1">
      <c r="A3" s="302"/>
      <c r="B3" s="304"/>
      <c r="C3" s="2177" t="s">
        <v>923</v>
      </c>
      <c r="D3" s="2177"/>
      <c r="E3" s="2177"/>
      <c r="F3" s="2177"/>
      <c r="G3" s="2177"/>
      <c r="H3" s="2177"/>
      <c r="I3" s="2177"/>
      <c r="J3" s="2177"/>
      <c r="K3" s="2177"/>
      <c r="L3" s="2177"/>
      <c r="M3" s="2177"/>
      <c r="N3" s="312">
        <f>'AS with changes'!O3</f>
        <v>75000</v>
      </c>
    </row>
    <row r="4" spans="1:25" ht="19">
      <c r="A4" s="302"/>
      <c r="B4" s="304"/>
      <c r="C4" s="2178" t="s">
        <v>924</v>
      </c>
      <c r="D4" s="2179"/>
      <c r="E4" s="2179"/>
      <c r="F4" s="2179"/>
      <c r="G4" s="2179"/>
      <c r="H4" s="2179"/>
      <c r="I4" s="2179"/>
      <c r="J4" s="2179"/>
      <c r="K4" s="2179"/>
      <c r="L4" s="2179"/>
      <c r="M4" s="2179"/>
      <c r="N4" s="301"/>
    </row>
    <row r="5" spans="1:25" ht="15.05">
      <c r="A5" s="302"/>
      <c r="B5" s="304"/>
      <c r="C5" s="300"/>
      <c r="D5" s="1515" t="s">
        <v>925</v>
      </c>
      <c r="E5" s="1515"/>
      <c r="F5" s="1515"/>
      <c r="G5" s="1515"/>
      <c r="H5" s="1515"/>
      <c r="I5" s="1515"/>
      <c r="J5" s="1515"/>
      <c r="K5" s="1515"/>
      <c r="L5" s="1515"/>
      <c r="M5" s="331">
        <v>20220</v>
      </c>
      <c r="N5" s="335">
        <f>'AS with changes'!O4</f>
        <v>64</v>
      </c>
    </row>
    <row r="6" spans="1:25" ht="15.05">
      <c r="A6" s="302"/>
      <c r="B6" s="304"/>
      <c r="C6" s="300"/>
      <c r="D6" s="1515" t="s">
        <v>926</v>
      </c>
      <c r="E6" s="1515"/>
      <c r="F6" s="1515"/>
      <c r="G6" s="1515"/>
      <c r="H6" s="1515"/>
      <c r="I6" s="1515"/>
      <c r="J6" s="1515"/>
      <c r="K6" s="1515"/>
      <c r="L6" s="1515"/>
      <c r="M6" s="332">
        <v>20323</v>
      </c>
      <c r="N6" s="336">
        <f>'AS with changes'!O5</f>
        <v>61</v>
      </c>
    </row>
    <row r="7" spans="1:25">
      <c r="A7" s="305"/>
      <c r="B7" s="304"/>
      <c r="C7" s="300"/>
      <c r="D7" s="2181" t="s">
        <v>927</v>
      </c>
      <c r="E7" s="2181"/>
      <c r="F7" s="2181"/>
      <c r="G7" s="2181"/>
      <c r="H7" s="2181"/>
      <c r="I7" s="2181"/>
      <c r="J7" s="2181"/>
      <c r="K7" s="2181"/>
      <c r="L7" s="2181"/>
      <c r="M7" s="302"/>
      <c r="N7" s="303"/>
    </row>
    <row r="8" spans="1:25" s="37" customFormat="1" ht="100" customHeight="1">
      <c r="A8" s="212" t="s">
        <v>26</v>
      </c>
      <c r="B8" s="212" t="s">
        <v>591</v>
      </c>
      <c r="C8" s="212" t="s">
        <v>592</v>
      </c>
      <c r="D8" s="136" t="s">
        <v>383</v>
      </c>
      <c r="E8" s="139" t="s">
        <v>524</v>
      </c>
      <c r="F8" s="36" t="s">
        <v>148</v>
      </c>
      <c r="G8" s="36" t="s">
        <v>154</v>
      </c>
      <c r="H8" s="342" t="s">
        <v>928</v>
      </c>
      <c r="I8" s="343" t="s">
        <v>929</v>
      </c>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295" t="s">
        <v>930</v>
      </c>
      <c r="E10" s="294" t="s">
        <v>931</v>
      </c>
      <c r="F10" s="293" t="s">
        <v>932</v>
      </c>
      <c r="G10" s="293" t="s">
        <v>933</v>
      </c>
      <c r="H10" s="293" t="s">
        <v>934</v>
      </c>
      <c r="I10" s="299" t="s">
        <v>935</v>
      </c>
      <c r="J10" s="299"/>
      <c r="K10" s="217"/>
      <c r="L10" s="217"/>
      <c r="M10" s="217"/>
      <c r="N10" s="218" t="s">
        <v>728</v>
      </c>
    </row>
    <row r="11" spans="1:25">
      <c r="A11" s="119">
        <v>2015</v>
      </c>
      <c r="B11" s="155">
        <f>'AS with changes'!O4</f>
        <v>64</v>
      </c>
      <c r="C11" s="119">
        <f>'AS with changes'!O5</f>
        <v>61</v>
      </c>
      <c r="D11" s="219">
        <v>0</v>
      </c>
      <c r="E11" s="219">
        <v>0</v>
      </c>
      <c r="F11" s="219">
        <v>52000</v>
      </c>
      <c r="G11" s="219">
        <v>88000</v>
      </c>
      <c r="H11" s="219">
        <v>0</v>
      </c>
      <c r="I11" s="219">
        <v>0</v>
      </c>
      <c r="J11" s="219">
        <v>0</v>
      </c>
      <c r="K11" s="219">
        <v>0</v>
      </c>
      <c r="L11" s="219">
        <v>0</v>
      </c>
      <c r="M11" s="219">
        <v>0</v>
      </c>
      <c r="N11" s="190">
        <f t="shared" ref="N11:N38" si="0">SUM(D11:M11)</f>
        <v>140000</v>
      </c>
    </row>
    <row r="12" spans="1:25">
      <c r="A12" s="119">
        <f t="shared" ref="A12:C27" si="1">A11+1</f>
        <v>2016</v>
      </c>
      <c r="B12" s="144">
        <f t="shared" si="1"/>
        <v>65</v>
      </c>
      <c r="C12" s="334">
        <f t="shared" si="1"/>
        <v>62</v>
      </c>
      <c r="D12" s="219">
        <v>0</v>
      </c>
      <c r="E12" s="219">
        <v>0</v>
      </c>
      <c r="F12" s="219">
        <v>52000</v>
      </c>
      <c r="G12" s="219">
        <v>88000</v>
      </c>
      <c r="H12" s="219">
        <v>0</v>
      </c>
      <c r="I12" s="219">
        <v>0</v>
      </c>
      <c r="J12" s="219">
        <v>0</v>
      </c>
      <c r="K12" s="219">
        <v>0</v>
      </c>
      <c r="L12" s="219">
        <v>0</v>
      </c>
      <c r="M12" s="219">
        <v>0</v>
      </c>
      <c r="N12" s="45">
        <f t="shared" si="0"/>
        <v>140000</v>
      </c>
    </row>
    <row r="13" spans="1:25">
      <c r="A13" s="155">
        <f t="shared" si="1"/>
        <v>2017</v>
      </c>
      <c r="B13" s="119">
        <f t="shared" si="1"/>
        <v>66</v>
      </c>
      <c r="C13" s="119">
        <f t="shared" si="1"/>
        <v>63</v>
      </c>
      <c r="D13" s="219">
        <v>0</v>
      </c>
      <c r="E13" s="219">
        <v>0</v>
      </c>
      <c r="F13" s="219">
        <v>52000</v>
      </c>
      <c r="G13" s="219">
        <v>88000</v>
      </c>
      <c r="H13" s="219">
        <v>0</v>
      </c>
      <c r="I13" s="219">
        <v>0</v>
      </c>
      <c r="J13" s="219">
        <v>0</v>
      </c>
      <c r="K13" s="219">
        <v>0</v>
      </c>
      <c r="L13" s="219">
        <v>0</v>
      </c>
      <c r="M13" s="219">
        <v>0</v>
      </c>
      <c r="N13" s="45">
        <f t="shared" si="0"/>
        <v>140000</v>
      </c>
    </row>
    <row r="14" spans="1:25">
      <c r="A14" s="119">
        <f t="shared" si="1"/>
        <v>2018</v>
      </c>
      <c r="B14" s="137">
        <f t="shared" si="1"/>
        <v>67</v>
      </c>
      <c r="C14" s="333">
        <f t="shared" si="1"/>
        <v>64</v>
      </c>
      <c r="D14" s="219">
        <f>D13*1.02</f>
        <v>0</v>
      </c>
      <c r="E14" s="219">
        <v>0</v>
      </c>
      <c r="F14" s="219">
        <v>0</v>
      </c>
      <c r="G14" s="219">
        <v>58664</v>
      </c>
      <c r="H14" s="344">
        <v>8426</v>
      </c>
      <c r="I14" s="344">
        <v>19688</v>
      </c>
      <c r="J14" s="219">
        <v>0</v>
      </c>
      <c r="K14" s="219">
        <v>0</v>
      </c>
      <c r="L14" s="219">
        <v>0</v>
      </c>
      <c r="M14" s="219">
        <v>0</v>
      </c>
      <c r="N14" s="45">
        <f t="shared" si="0"/>
        <v>86778</v>
      </c>
    </row>
    <row r="15" spans="1:25">
      <c r="A15" s="119">
        <f t="shared" si="1"/>
        <v>2019</v>
      </c>
      <c r="B15" s="150">
        <f t="shared" si="1"/>
        <v>68</v>
      </c>
      <c r="C15" s="119">
        <f t="shared" si="1"/>
        <v>65</v>
      </c>
      <c r="D15" s="219">
        <v>27228</v>
      </c>
      <c r="E15" s="219">
        <v>19176</v>
      </c>
      <c r="F15" s="219">
        <v>0</v>
      </c>
      <c r="G15" s="219">
        <v>0</v>
      </c>
      <c r="H15" s="220">
        <v>8426</v>
      </c>
      <c r="I15" s="220">
        <v>19688</v>
      </c>
      <c r="J15" s="219">
        <v>0</v>
      </c>
      <c r="K15" s="219">
        <v>0</v>
      </c>
      <c r="L15" s="219">
        <v>0</v>
      </c>
      <c r="M15" s="219">
        <v>0</v>
      </c>
      <c r="N15" s="45">
        <f t="shared" si="0"/>
        <v>74518</v>
      </c>
    </row>
    <row r="16" spans="1:25">
      <c r="A16" s="119">
        <f t="shared" si="1"/>
        <v>2020</v>
      </c>
      <c r="B16" s="119">
        <f t="shared" si="1"/>
        <v>69</v>
      </c>
      <c r="C16" s="119">
        <f t="shared" si="1"/>
        <v>66</v>
      </c>
      <c r="D16" s="219">
        <f t="shared" ref="D16:E38" si="2">D15*1.02</f>
        <v>27772.560000000001</v>
      </c>
      <c r="E16" s="219">
        <f>E15*1.02</f>
        <v>19559.52</v>
      </c>
      <c r="F16" s="219">
        <v>0</v>
      </c>
      <c r="G16" s="219">
        <v>0</v>
      </c>
      <c r="H16" s="220">
        <v>8426</v>
      </c>
      <c r="I16" s="220">
        <v>19688</v>
      </c>
      <c r="J16" s="219">
        <v>0</v>
      </c>
      <c r="K16" s="219">
        <v>0</v>
      </c>
      <c r="L16" s="219">
        <v>0</v>
      </c>
      <c r="M16" s="219">
        <v>0</v>
      </c>
      <c r="N16" s="45">
        <f t="shared" si="0"/>
        <v>75446.080000000002</v>
      </c>
    </row>
    <row r="17" spans="1:14">
      <c r="A17" s="119">
        <f t="shared" si="1"/>
        <v>2021</v>
      </c>
      <c r="B17" s="119">
        <f t="shared" si="1"/>
        <v>70</v>
      </c>
      <c r="C17" s="119">
        <f t="shared" si="1"/>
        <v>67</v>
      </c>
      <c r="D17" s="219">
        <f t="shared" si="2"/>
        <v>28328.011200000001</v>
      </c>
      <c r="E17" s="219">
        <f t="shared" si="2"/>
        <v>19950.7104</v>
      </c>
      <c r="F17" s="219">
        <v>0</v>
      </c>
      <c r="G17" s="219">
        <v>0</v>
      </c>
      <c r="H17" s="220">
        <v>8426</v>
      </c>
      <c r="I17" s="220">
        <v>19688</v>
      </c>
      <c r="J17" s="219">
        <v>0</v>
      </c>
      <c r="K17" s="219">
        <v>0</v>
      </c>
      <c r="L17" s="219">
        <v>0</v>
      </c>
      <c r="M17" s="219">
        <v>0</v>
      </c>
      <c r="N17" s="45">
        <f t="shared" si="0"/>
        <v>76392.721600000004</v>
      </c>
    </row>
    <row r="18" spans="1:14">
      <c r="A18" s="119">
        <f t="shared" si="1"/>
        <v>2022</v>
      </c>
      <c r="B18" s="119">
        <f t="shared" si="1"/>
        <v>71</v>
      </c>
      <c r="C18" s="119">
        <f t="shared" si="1"/>
        <v>68</v>
      </c>
      <c r="D18" s="219">
        <f t="shared" si="2"/>
        <v>28894.571424000002</v>
      </c>
      <c r="E18" s="219">
        <f t="shared" si="2"/>
        <v>20349.724608</v>
      </c>
      <c r="F18" s="219">
        <v>0</v>
      </c>
      <c r="G18" s="219">
        <v>0</v>
      </c>
      <c r="H18" s="220">
        <v>8426</v>
      </c>
      <c r="I18" s="220">
        <v>19688</v>
      </c>
      <c r="J18" s="219">
        <v>0</v>
      </c>
      <c r="K18" s="219">
        <v>0</v>
      </c>
      <c r="L18" s="219">
        <v>0</v>
      </c>
      <c r="M18" s="219">
        <v>0</v>
      </c>
      <c r="N18" s="45">
        <f t="shared" si="0"/>
        <v>77358.296031999998</v>
      </c>
    </row>
    <row r="19" spans="1:14">
      <c r="A19" s="119">
        <f t="shared" si="1"/>
        <v>2023</v>
      </c>
      <c r="B19" s="119">
        <f t="shared" si="1"/>
        <v>72</v>
      </c>
      <c r="C19" s="119">
        <f t="shared" si="1"/>
        <v>69</v>
      </c>
      <c r="D19" s="219">
        <f t="shared" si="2"/>
        <v>29472.462852480003</v>
      </c>
      <c r="E19" s="219">
        <f t="shared" si="2"/>
        <v>20756.71910016</v>
      </c>
      <c r="F19" s="219">
        <v>0</v>
      </c>
      <c r="G19" s="219">
        <v>0</v>
      </c>
      <c r="H19" s="220">
        <v>8426</v>
      </c>
      <c r="I19" s="220">
        <v>19688</v>
      </c>
      <c r="J19" s="219">
        <v>0</v>
      </c>
      <c r="K19" s="219">
        <v>0</v>
      </c>
      <c r="L19" s="219">
        <v>0</v>
      </c>
      <c r="M19" s="219">
        <v>0</v>
      </c>
      <c r="N19" s="45">
        <f t="shared" si="0"/>
        <v>78343.181952640007</v>
      </c>
    </row>
    <row r="20" spans="1:14">
      <c r="A20" s="119">
        <f t="shared" si="1"/>
        <v>2024</v>
      </c>
      <c r="B20" s="119">
        <f t="shared" si="1"/>
        <v>73</v>
      </c>
      <c r="C20" s="119">
        <f t="shared" si="1"/>
        <v>70</v>
      </c>
      <c r="D20" s="219">
        <f t="shared" si="2"/>
        <v>30061.912109529603</v>
      </c>
      <c r="E20" s="219">
        <f t="shared" si="2"/>
        <v>21171.853482163202</v>
      </c>
      <c r="F20" s="219">
        <v>0</v>
      </c>
      <c r="G20" s="219">
        <v>0</v>
      </c>
      <c r="H20" s="220">
        <v>8426</v>
      </c>
      <c r="I20" s="220">
        <v>19688</v>
      </c>
      <c r="J20" s="219">
        <v>0</v>
      </c>
      <c r="K20" s="219">
        <v>0</v>
      </c>
      <c r="L20" s="219">
        <v>0</v>
      </c>
      <c r="M20" s="219">
        <v>0</v>
      </c>
      <c r="N20" s="45">
        <f t="shared" si="0"/>
        <v>79347.765591692805</v>
      </c>
    </row>
    <row r="21" spans="1:14">
      <c r="A21" s="119">
        <f t="shared" si="1"/>
        <v>2025</v>
      </c>
      <c r="B21" s="119">
        <f t="shared" si="1"/>
        <v>74</v>
      </c>
      <c r="C21" s="119">
        <f t="shared" si="1"/>
        <v>71</v>
      </c>
      <c r="D21" s="219">
        <f t="shared" si="2"/>
        <v>30663.150351720196</v>
      </c>
      <c r="E21" s="219">
        <f t="shared" si="2"/>
        <v>21595.290551806465</v>
      </c>
      <c r="F21" s="219">
        <v>0</v>
      </c>
      <c r="G21" s="219">
        <v>0</v>
      </c>
      <c r="H21" s="220">
        <v>8426</v>
      </c>
      <c r="I21" s="220">
        <v>19688</v>
      </c>
      <c r="J21" s="219">
        <v>0</v>
      </c>
      <c r="K21" s="219">
        <v>0</v>
      </c>
      <c r="L21" s="219">
        <v>0</v>
      </c>
      <c r="M21" s="219">
        <v>0</v>
      </c>
      <c r="N21" s="45">
        <f t="shared" si="0"/>
        <v>80372.440903526658</v>
      </c>
    </row>
    <row r="22" spans="1:14">
      <c r="A22" s="119">
        <f t="shared" si="1"/>
        <v>2026</v>
      </c>
      <c r="B22" s="119">
        <f t="shared" si="1"/>
        <v>75</v>
      </c>
      <c r="C22" s="119">
        <f t="shared" si="1"/>
        <v>72</v>
      </c>
      <c r="D22" s="219">
        <f t="shared" si="2"/>
        <v>31276.413358754602</v>
      </c>
      <c r="E22" s="219">
        <f t="shared" si="2"/>
        <v>22027.196362842595</v>
      </c>
      <c r="F22" s="219">
        <v>0</v>
      </c>
      <c r="G22" s="219">
        <v>0</v>
      </c>
      <c r="H22" s="220">
        <v>8426</v>
      </c>
      <c r="I22" s="220">
        <v>19688</v>
      </c>
      <c r="J22" s="219">
        <v>0</v>
      </c>
      <c r="K22" s="219">
        <v>0</v>
      </c>
      <c r="L22" s="219">
        <v>0</v>
      </c>
      <c r="M22" s="219">
        <v>0</v>
      </c>
      <c r="N22" s="45">
        <f t="shared" si="0"/>
        <v>81417.609721597197</v>
      </c>
    </row>
    <row r="23" spans="1:14">
      <c r="A23" s="119">
        <f t="shared" si="1"/>
        <v>2027</v>
      </c>
      <c r="B23" s="119">
        <f t="shared" si="1"/>
        <v>76</v>
      </c>
      <c r="C23" s="119">
        <f t="shared" si="1"/>
        <v>73</v>
      </c>
      <c r="D23" s="219">
        <f t="shared" si="2"/>
        <v>31901.941625929696</v>
      </c>
      <c r="E23" s="219">
        <f t="shared" si="2"/>
        <v>22467.740290099446</v>
      </c>
      <c r="F23" s="219">
        <v>0</v>
      </c>
      <c r="G23" s="219">
        <v>0</v>
      </c>
      <c r="H23" s="220">
        <v>8426</v>
      </c>
      <c r="I23" s="220">
        <v>19688</v>
      </c>
      <c r="J23" s="219">
        <v>0</v>
      </c>
      <c r="K23" s="219">
        <v>0</v>
      </c>
      <c r="L23" s="219">
        <v>0</v>
      </c>
      <c r="M23" s="219">
        <v>0</v>
      </c>
      <c r="N23" s="45">
        <f t="shared" si="0"/>
        <v>82483.681916029134</v>
      </c>
    </row>
    <row r="24" spans="1:14">
      <c r="A24" s="119">
        <f t="shared" si="1"/>
        <v>2028</v>
      </c>
      <c r="B24" s="119">
        <f t="shared" si="1"/>
        <v>77</v>
      </c>
      <c r="C24" s="119">
        <f t="shared" si="1"/>
        <v>74</v>
      </c>
      <c r="D24" s="219">
        <f t="shared" si="2"/>
        <v>32539.980458448292</v>
      </c>
      <c r="E24" s="219">
        <f t="shared" si="2"/>
        <v>22917.095095901434</v>
      </c>
      <c r="F24" s="219">
        <v>0</v>
      </c>
      <c r="G24" s="219">
        <v>0</v>
      </c>
      <c r="H24" s="220">
        <v>8426</v>
      </c>
      <c r="I24" s="220">
        <v>19688</v>
      </c>
      <c r="J24" s="219">
        <v>0</v>
      </c>
      <c r="K24" s="219">
        <v>0</v>
      </c>
      <c r="L24" s="219">
        <v>0</v>
      </c>
      <c r="M24" s="219">
        <v>0</v>
      </c>
      <c r="N24" s="45">
        <f t="shared" si="0"/>
        <v>83571.075554349722</v>
      </c>
    </row>
    <row r="25" spans="1:14">
      <c r="A25" s="119">
        <f t="shared" si="1"/>
        <v>2029</v>
      </c>
      <c r="B25" s="119">
        <f t="shared" si="1"/>
        <v>78</v>
      </c>
      <c r="C25" s="119">
        <f t="shared" si="1"/>
        <v>75</v>
      </c>
      <c r="D25" s="219">
        <f t="shared" si="2"/>
        <v>33190.780067617256</v>
      </c>
      <c r="E25" s="219">
        <f t="shared" si="2"/>
        <v>23375.436997819463</v>
      </c>
      <c r="F25" s="219">
        <v>0</v>
      </c>
      <c r="G25" s="219">
        <v>0</v>
      </c>
      <c r="H25" s="220">
        <v>8426</v>
      </c>
      <c r="I25" s="220">
        <v>19688</v>
      </c>
      <c r="J25" s="219">
        <v>0</v>
      </c>
      <c r="K25" s="219">
        <v>0</v>
      </c>
      <c r="L25" s="219">
        <v>0</v>
      </c>
      <c r="M25" s="219">
        <v>0</v>
      </c>
      <c r="N25" s="45">
        <f t="shared" si="0"/>
        <v>84680.217065436722</v>
      </c>
    </row>
    <row r="26" spans="1:14">
      <c r="A26" s="155">
        <f t="shared" si="1"/>
        <v>2030</v>
      </c>
      <c r="B26" s="119">
        <f t="shared" si="1"/>
        <v>79</v>
      </c>
      <c r="C26" s="221">
        <f t="shared" si="1"/>
        <v>76</v>
      </c>
      <c r="D26" s="219">
        <f t="shared" si="2"/>
        <v>33854.595668969603</v>
      </c>
      <c r="E26" s="219">
        <f t="shared" si="2"/>
        <v>23842.945737775852</v>
      </c>
      <c r="F26" s="219">
        <v>0</v>
      </c>
      <c r="G26" s="219">
        <v>0</v>
      </c>
      <c r="H26" s="220">
        <v>8426</v>
      </c>
      <c r="I26" s="220">
        <v>19688</v>
      </c>
      <c r="J26" s="219">
        <v>0</v>
      </c>
      <c r="K26" s="219">
        <v>0</v>
      </c>
      <c r="L26" s="219">
        <v>0</v>
      </c>
      <c r="M26" s="219">
        <v>0</v>
      </c>
      <c r="N26" s="45">
        <f t="shared" si="0"/>
        <v>85811.541406745455</v>
      </c>
    </row>
    <row r="27" spans="1:14">
      <c r="A27" s="119">
        <f t="shared" si="1"/>
        <v>2031</v>
      </c>
      <c r="B27" s="137">
        <f t="shared" si="1"/>
        <v>80</v>
      </c>
      <c r="C27" s="119">
        <f t="shared" si="1"/>
        <v>77</v>
      </c>
      <c r="D27" s="219">
        <f t="shared" si="2"/>
        <v>34531.687582348997</v>
      </c>
      <c r="E27" s="219">
        <f t="shared" si="2"/>
        <v>24319.804652531369</v>
      </c>
      <c r="F27" s="219">
        <v>0</v>
      </c>
      <c r="G27" s="219">
        <v>0</v>
      </c>
      <c r="H27" s="220">
        <v>8426</v>
      </c>
      <c r="I27" s="220">
        <v>19688</v>
      </c>
      <c r="J27" s="219">
        <v>0</v>
      </c>
      <c r="K27" s="219">
        <v>0</v>
      </c>
      <c r="L27" s="219">
        <v>0</v>
      </c>
      <c r="M27" s="219">
        <v>0</v>
      </c>
      <c r="N27" s="45">
        <f t="shared" si="0"/>
        <v>86965.492234880367</v>
      </c>
    </row>
    <row r="28" spans="1:14">
      <c r="A28" s="119">
        <f t="shared" ref="A28:C38" si="3">A27+1</f>
        <v>2032</v>
      </c>
      <c r="B28" s="119">
        <f t="shared" si="3"/>
        <v>81</v>
      </c>
      <c r="C28" s="119">
        <f t="shared" si="3"/>
        <v>78</v>
      </c>
      <c r="D28" s="219">
        <f t="shared" si="2"/>
        <v>35222.321333995977</v>
      </c>
      <c r="E28" s="219">
        <f t="shared" si="2"/>
        <v>24806.200745581998</v>
      </c>
      <c r="F28" s="219">
        <v>0</v>
      </c>
      <c r="G28" s="219">
        <v>0</v>
      </c>
      <c r="H28" s="220">
        <v>8426</v>
      </c>
      <c r="I28" s="220">
        <v>19688</v>
      </c>
      <c r="J28" s="219">
        <v>0</v>
      </c>
      <c r="K28" s="219">
        <v>0</v>
      </c>
      <c r="L28" s="219">
        <v>0</v>
      </c>
      <c r="M28" s="219">
        <v>0</v>
      </c>
      <c r="N28" s="45">
        <f t="shared" si="0"/>
        <v>88142.522079577975</v>
      </c>
    </row>
    <row r="29" spans="1:14">
      <c r="A29" s="119">
        <f t="shared" si="3"/>
        <v>2033</v>
      </c>
      <c r="B29" s="119">
        <f t="shared" si="3"/>
        <v>82</v>
      </c>
      <c r="C29" s="119">
        <f t="shared" si="3"/>
        <v>79</v>
      </c>
      <c r="D29" s="219">
        <f t="shared" si="2"/>
        <v>35926.767760675895</v>
      </c>
      <c r="E29" s="219">
        <f t="shared" si="2"/>
        <v>25302.32476049364</v>
      </c>
      <c r="F29" s="219">
        <v>0</v>
      </c>
      <c r="G29" s="219">
        <v>0</v>
      </c>
      <c r="H29" s="220">
        <v>8426</v>
      </c>
      <c r="I29" s="220">
        <v>19688</v>
      </c>
      <c r="J29" s="219">
        <v>0</v>
      </c>
      <c r="K29" s="219">
        <v>0</v>
      </c>
      <c r="L29" s="219">
        <v>0</v>
      </c>
      <c r="M29" s="219">
        <v>0</v>
      </c>
      <c r="N29" s="45">
        <f t="shared" si="0"/>
        <v>89343.092521169543</v>
      </c>
    </row>
    <row r="30" spans="1:14">
      <c r="A30" s="119">
        <f t="shared" si="3"/>
        <v>2034</v>
      </c>
      <c r="B30" s="119">
        <f t="shared" si="3"/>
        <v>83</v>
      </c>
      <c r="C30" s="119">
        <f t="shared" si="3"/>
        <v>80</v>
      </c>
      <c r="D30" s="219">
        <f t="shared" si="2"/>
        <v>36645.303115889415</v>
      </c>
      <c r="E30" s="219">
        <f t="shared" si="2"/>
        <v>25808.371255703514</v>
      </c>
      <c r="F30" s="219">
        <v>0</v>
      </c>
      <c r="G30" s="219">
        <v>0</v>
      </c>
      <c r="H30" s="220">
        <v>8426</v>
      </c>
      <c r="I30" s="220">
        <v>19688</v>
      </c>
      <c r="J30" s="219">
        <v>0</v>
      </c>
      <c r="K30" s="219">
        <v>0</v>
      </c>
      <c r="L30" s="219">
        <v>0</v>
      </c>
      <c r="M30" s="219">
        <v>0</v>
      </c>
      <c r="N30" s="45">
        <f t="shared" si="0"/>
        <v>90567.674371592933</v>
      </c>
    </row>
    <row r="31" spans="1:14">
      <c r="A31" s="119">
        <f t="shared" si="3"/>
        <v>2035</v>
      </c>
      <c r="B31" s="119">
        <f t="shared" si="3"/>
        <v>84</v>
      </c>
      <c r="C31" s="119">
        <f t="shared" si="3"/>
        <v>81</v>
      </c>
      <c r="D31" s="219">
        <f t="shared" si="2"/>
        <v>37378.209178207202</v>
      </c>
      <c r="E31" s="219">
        <f t="shared" si="2"/>
        <v>26324.538680817586</v>
      </c>
      <c r="F31" s="219">
        <v>0</v>
      </c>
      <c r="G31" s="219">
        <v>0</v>
      </c>
      <c r="H31" s="220">
        <v>8426</v>
      </c>
      <c r="I31" s="220">
        <v>19688</v>
      </c>
      <c r="J31" s="219">
        <v>0</v>
      </c>
      <c r="K31" s="219">
        <v>0</v>
      </c>
      <c r="L31" s="219">
        <v>0</v>
      </c>
      <c r="M31" s="219">
        <v>0</v>
      </c>
      <c r="N31" s="45">
        <f t="shared" si="0"/>
        <v>91816.747859024792</v>
      </c>
    </row>
    <row r="32" spans="1:14">
      <c r="A32" s="119">
        <f t="shared" si="3"/>
        <v>2036</v>
      </c>
      <c r="B32" s="148">
        <f t="shared" si="3"/>
        <v>85</v>
      </c>
      <c r="C32" s="119">
        <f t="shared" si="3"/>
        <v>82</v>
      </c>
      <c r="D32" s="219">
        <f t="shared" si="2"/>
        <v>38125.773361771346</v>
      </c>
      <c r="E32" s="219">
        <f t="shared" si="2"/>
        <v>26851.029454433938</v>
      </c>
      <c r="F32" s="219">
        <v>0</v>
      </c>
      <c r="G32" s="219">
        <v>0</v>
      </c>
      <c r="H32" s="220">
        <v>8426</v>
      </c>
      <c r="I32" s="220">
        <v>19688</v>
      </c>
      <c r="J32" s="219">
        <v>0</v>
      </c>
      <c r="K32" s="219">
        <v>0</v>
      </c>
      <c r="L32" s="219">
        <v>0</v>
      </c>
      <c r="M32" s="219">
        <v>0</v>
      </c>
      <c r="N32" s="45">
        <f t="shared" si="0"/>
        <v>93090.80281620528</v>
      </c>
    </row>
    <row r="33" spans="1:25">
      <c r="A33" s="119">
        <f t="shared" si="3"/>
        <v>2037</v>
      </c>
      <c r="B33" s="119">
        <f t="shared" si="3"/>
        <v>86</v>
      </c>
      <c r="C33" s="148">
        <f t="shared" si="3"/>
        <v>83</v>
      </c>
      <c r="D33" s="219">
        <f t="shared" si="2"/>
        <v>38888.288829006771</v>
      </c>
      <c r="E33" s="219">
        <f t="shared" si="2"/>
        <v>27388.050043522617</v>
      </c>
      <c r="F33" s="219">
        <v>0</v>
      </c>
      <c r="G33" s="219">
        <v>0</v>
      </c>
      <c r="H33" s="220">
        <v>8426</v>
      </c>
      <c r="I33" s="220">
        <v>19688</v>
      </c>
      <c r="J33" s="219">
        <v>0</v>
      </c>
      <c r="K33" s="219">
        <v>0</v>
      </c>
      <c r="L33" s="219">
        <v>0</v>
      </c>
      <c r="M33" s="219">
        <v>0</v>
      </c>
      <c r="N33" s="45">
        <f t="shared" si="0"/>
        <v>94390.338872529392</v>
      </c>
    </row>
    <row r="34" spans="1:25">
      <c r="A34" s="119">
        <f t="shared" si="3"/>
        <v>2038</v>
      </c>
      <c r="B34" s="119">
        <f t="shared" si="3"/>
        <v>87</v>
      </c>
      <c r="C34" s="119">
        <f t="shared" si="3"/>
        <v>84</v>
      </c>
      <c r="D34" s="219">
        <f t="shared" si="2"/>
        <v>39666.054605586905</v>
      </c>
      <c r="E34" s="219">
        <f t="shared" si="2"/>
        <v>27935.811044393071</v>
      </c>
      <c r="F34" s="219">
        <v>0</v>
      </c>
      <c r="G34" s="219">
        <v>0</v>
      </c>
      <c r="H34" s="220">
        <v>8426</v>
      </c>
      <c r="I34" s="220">
        <v>19688</v>
      </c>
      <c r="J34" s="219">
        <v>0</v>
      </c>
      <c r="K34" s="219">
        <v>0</v>
      </c>
      <c r="L34" s="219">
        <v>0</v>
      </c>
      <c r="M34" s="219">
        <v>0</v>
      </c>
      <c r="N34" s="45">
        <f t="shared" si="0"/>
        <v>95715.865649979969</v>
      </c>
    </row>
    <row r="35" spans="1:25">
      <c r="A35" s="119">
        <f t="shared" si="3"/>
        <v>2039</v>
      </c>
      <c r="B35" s="119">
        <f t="shared" si="3"/>
        <v>88</v>
      </c>
      <c r="C35" s="119">
        <f t="shared" si="3"/>
        <v>85</v>
      </c>
      <c r="D35" s="219">
        <f t="shared" si="2"/>
        <v>40459.375697698641</v>
      </c>
      <c r="E35" s="219">
        <f t="shared" si="2"/>
        <v>28494.527265280933</v>
      </c>
      <c r="F35" s="219">
        <v>0</v>
      </c>
      <c r="G35" s="219">
        <v>0</v>
      </c>
      <c r="H35" s="220">
        <v>8426</v>
      </c>
      <c r="I35" s="220">
        <v>19688</v>
      </c>
      <c r="J35" s="219">
        <v>0</v>
      </c>
      <c r="K35" s="219">
        <v>0</v>
      </c>
      <c r="L35" s="219">
        <v>0</v>
      </c>
      <c r="M35" s="219">
        <v>0</v>
      </c>
      <c r="N35" s="45">
        <f t="shared" si="0"/>
        <v>97067.90296297957</v>
      </c>
    </row>
    <row r="36" spans="1:25">
      <c r="A36" s="119">
        <f t="shared" si="3"/>
        <v>2040</v>
      </c>
      <c r="B36" s="119">
        <f t="shared" si="3"/>
        <v>89</v>
      </c>
      <c r="C36" s="119">
        <f t="shared" si="3"/>
        <v>86</v>
      </c>
      <c r="D36" s="219">
        <f t="shared" si="2"/>
        <v>41268.563211652618</v>
      </c>
      <c r="E36" s="219">
        <f t="shared" si="2"/>
        <v>29064.41781058655</v>
      </c>
      <c r="F36" s="219">
        <v>0</v>
      </c>
      <c r="G36" s="219">
        <v>0</v>
      </c>
      <c r="H36" s="220">
        <v>8426</v>
      </c>
      <c r="I36" s="220">
        <v>19688</v>
      </c>
      <c r="J36" s="219">
        <v>0</v>
      </c>
      <c r="K36" s="219">
        <v>0</v>
      </c>
      <c r="L36" s="219">
        <v>0</v>
      </c>
      <c r="M36" s="219">
        <v>0</v>
      </c>
      <c r="N36" s="45">
        <f t="shared" si="0"/>
        <v>98446.981022239168</v>
      </c>
    </row>
    <row r="37" spans="1:25">
      <c r="A37" s="119">
        <f t="shared" si="3"/>
        <v>2041</v>
      </c>
      <c r="B37" s="119">
        <f t="shared" si="3"/>
        <v>90</v>
      </c>
      <c r="C37" s="119">
        <f t="shared" si="3"/>
        <v>87</v>
      </c>
      <c r="D37" s="219">
        <f t="shared" si="2"/>
        <v>42093.934475885668</v>
      </c>
      <c r="E37" s="219">
        <f t="shared" si="2"/>
        <v>29645.706166798282</v>
      </c>
      <c r="F37" s="219">
        <v>0</v>
      </c>
      <c r="G37" s="219">
        <v>0</v>
      </c>
      <c r="H37" s="220">
        <v>8426</v>
      </c>
      <c r="I37" s="220">
        <v>19688</v>
      </c>
      <c r="J37" s="219">
        <v>0</v>
      </c>
      <c r="K37" s="219">
        <v>0</v>
      </c>
      <c r="L37" s="219">
        <v>0</v>
      </c>
      <c r="M37" s="219">
        <v>0</v>
      </c>
      <c r="N37" s="45">
        <f t="shared" si="0"/>
        <v>99853.640642683953</v>
      </c>
    </row>
    <row r="38" spans="1:25">
      <c r="A38" s="137">
        <f t="shared" si="3"/>
        <v>2042</v>
      </c>
      <c r="B38" s="137">
        <f t="shared" si="3"/>
        <v>91</v>
      </c>
      <c r="C38" s="137">
        <f t="shared" si="3"/>
        <v>88</v>
      </c>
      <c r="D38" s="219">
        <f t="shared" si="2"/>
        <v>42935.813165403379</v>
      </c>
      <c r="E38" s="219">
        <f t="shared" si="2"/>
        <v>30238.620290134248</v>
      </c>
      <c r="F38" s="219">
        <v>0</v>
      </c>
      <c r="G38" s="219">
        <v>0</v>
      </c>
      <c r="H38" s="220">
        <v>8426</v>
      </c>
      <c r="I38" s="220">
        <v>19688</v>
      </c>
      <c r="J38" s="219">
        <v>0</v>
      </c>
      <c r="K38" s="219">
        <v>0</v>
      </c>
      <c r="L38" s="219">
        <v>0</v>
      </c>
      <c r="M38" s="219">
        <v>0</v>
      </c>
      <c r="N38" s="45">
        <f t="shared" si="0"/>
        <v>101288.43345553763</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7">
    <mergeCell ref="A10:C10"/>
    <mergeCell ref="E2:K2"/>
    <mergeCell ref="C3:M3"/>
    <mergeCell ref="C4:M4"/>
    <mergeCell ref="D5:L5"/>
    <mergeCell ref="D6:L6"/>
    <mergeCell ref="D7:L7"/>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10"/>
  <sheetViews>
    <sheetView showGridLines="0" workbookViewId="0"/>
  </sheetViews>
  <sheetFormatPr defaultColWidth="9.125" defaultRowHeight="12.45"/>
  <sheetData>
    <row r="1" spans="1:1">
      <c r="A1">
        <v>1</v>
      </c>
    </row>
    <row r="2" spans="1:1">
      <c r="A2">
        <v>2</v>
      </c>
    </row>
    <row r="3" spans="1:1">
      <c r="A3">
        <v>3</v>
      </c>
    </row>
    <row r="4" spans="1:1">
      <c r="A4">
        <v>4</v>
      </c>
    </row>
    <row r="5" spans="1:1">
      <c r="A5">
        <v>5</v>
      </c>
    </row>
    <row r="6" spans="1:1">
      <c r="A6">
        <v>6</v>
      </c>
    </row>
    <row r="7" spans="1:1">
      <c r="A7">
        <v>7</v>
      </c>
    </row>
    <row r="8" spans="1:1">
      <c r="A8">
        <v>8</v>
      </c>
    </row>
    <row r="9" spans="1:1">
      <c r="A9">
        <v>9</v>
      </c>
    </row>
    <row r="10" spans="1:1">
      <c r="A10">
        <v>10</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1"/>
  </sheetPr>
  <dimension ref="A1:A10"/>
  <sheetViews>
    <sheetView showGridLines="0" workbookViewId="0"/>
  </sheetViews>
  <sheetFormatPr defaultRowHeight="12.45"/>
  <sheetData>
    <row r="1" spans="1:1">
      <c r="A1">
        <v>1</v>
      </c>
    </row>
    <row r="2" spans="1:1">
      <c r="A2">
        <v>2</v>
      </c>
    </row>
    <row r="3" spans="1:1">
      <c r="A3">
        <v>3</v>
      </c>
    </row>
    <row r="4" spans="1:1">
      <c r="A4">
        <v>4</v>
      </c>
    </row>
    <row r="5" spans="1:1">
      <c r="A5">
        <v>5</v>
      </c>
    </row>
    <row r="6" spans="1:1">
      <c r="A6">
        <v>6</v>
      </c>
    </row>
    <row r="7" spans="1:1">
      <c r="A7">
        <v>7</v>
      </c>
    </row>
    <row r="8" spans="1:1">
      <c r="A8">
        <v>8</v>
      </c>
    </row>
    <row r="9" spans="1:1">
      <c r="A9">
        <v>9</v>
      </c>
    </row>
    <row r="10" spans="1:1">
      <c r="A10">
        <v>10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S75"/>
  <sheetViews>
    <sheetView showGridLines="0" workbookViewId="0">
      <selection sqref="A1:M1"/>
    </sheetView>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42"/>
      <c r="B1" s="1642"/>
      <c r="C1" s="1642"/>
      <c r="D1" s="1642"/>
      <c r="E1" s="1642"/>
      <c r="F1" s="1642"/>
      <c r="G1" s="1642"/>
      <c r="H1" s="1642"/>
      <c r="I1" s="1642"/>
      <c r="J1" s="1642"/>
      <c r="K1" s="1642"/>
      <c r="L1" s="1642"/>
      <c r="M1" s="1642"/>
    </row>
    <row r="2" spans="1:19" ht="26.2">
      <c r="C2" s="1643" t="s">
        <v>239</v>
      </c>
      <c r="D2" s="1644"/>
      <c r="E2" s="1644"/>
      <c r="F2" s="1645"/>
      <c r="G2" s="1646">
        <f>'Alt Cash Flow  Snapshot No Plan'!I10</f>
        <v>50000</v>
      </c>
      <c r="H2" s="1647"/>
      <c r="I2" s="1648"/>
      <c r="J2" s="1649" t="s">
        <v>239</v>
      </c>
      <c r="K2" s="1650"/>
      <c r="L2" s="1112"/>
      <c r="M2" s="1113"/>
    </row>
    <row r="3" spans="1:19" ht="26.2">
      <c r="C3" s="357"/>
      <c r="D3" s="357"/>
      <c r="E3" s="357"/>
      <c r="F3" s="357"/>
      <c r="G3" s="1118"/>
      <c r="H3" s="1118"/>
      <c r="I3" s="1118"/>
      <c r="J3" s="1119"/>
      <c r="K3" s="1119"/>
      <c r="L3" s="1112"/>
      <c r="M3" s="1113"/>
    </row>
    <row r="4" spans="1:19" ht="20.3">
      <c r="A4" s="1651" t="s">
        <v>240</v>
      </c>
      <c r="B4" s="1651"/>
      <c r="C4" s="1651"/>
      <c r="D4" s="1651"/>
      <c r="E4" s="1651"/>
      <c r="F4" s="1651"/>
      <c r="G4" s="1651"/>
      <c r="H4" s="1653"/>
      <c r="I4" s="1653"/>
      <c r="J4" s="1652" t="s">
        <v>241</v>
      </c>
      <c r="K4" s="1652"/>
      <c r="L4" s="1652"/>
      <c r="M4" s="1652"/>
      <c r="N4" s="1652"/>
      <c r="O4" s="1120"/>
    </row>
    <row r="5" spans="1:19" ht="20.3">
      <c r="A5" s="1124" t="s">
        <v>242</v>
      </c>
      <c r="B5" s="1127" t="s">
        <v>243</v>
      </c>
      <c r="C5" s="1128">
        <f>'Alt Cash Flow  Snapshot No Plan'!M26</f>
        <v>36609.840000000004</v>
      </c>
      <c r="D5" s="1632" t="s">
        <v>244</v>
      </c>
      <c r="E5" s="1632"/>
      <c r="F5" s="1632"/>
      <c r="G5" s="1172">
        <f>'Alt Cash Flow  Snapshot No Plan'!O26</f>
        <v>-13390.159999999996</v>
      </c>
      <c r="H5" s="1641"/>
      <c r="I5" s="1641"/>
      <c r="J5" s="1633" t="s">
        <v>245</v>
      </c>
      <c r="K5" s="1633"/>
      <c r="L5" s="1130">
        <f>'Alt Cash Flow  Snapshot No Plan'!M49</f>
        <v>0</v>
      </c>
      <c r="M5" s="1123" t="s">
        <v>246</v>
      </c>
      <c r="N5" s="1141">
        <f>L5-G2</f>
        <v>-50000</v>
      </c>
      <c r="O5" s="725"/>
      <c r="P5" s="726"/>
      <c r="Q5" s="726"/>
      <c r="R5" s="726"/>
      <c r="S5" s="727"/>
    </row>
    <row r="6" spans="1:19" ht="20.3">
      <c r="I6" s="257"/>
      <c r="J6" s="257"/>
      <c r="K6" s="383"/>
      <c r="L6" s="230"/>
      <c r="M6" s="230"/>
      <c r="O6" s="725"/>
      <c r="P6" s="727"/>
      <c r="S6" s="728"/>
    </row>
    <row r="7" spans="1:19" ht="20.3">
      <c r="A7" s="1126" t="s">
        <v>242</v>
      </c>
      <c r="B7" s="1127" t="s">
        <v>243</v>
      </c>
      <c r="C7" s="1128">
        <f>'Alt Cash Flow  Snapshot No Plan'!M35</f>
        <v>43752.147722451831</v>
      </c>
      <c r="D7" s="1634" t="s">
        <v>244</v>
      </c>
      <c r="E7" s="1634"/>
      <c r="F7" s="1634"/>
      <c r="G7" s="1172">
        <f>C7-G2</f>
        <v>-6247.8522775481688</v>
      </c>
      <c r="H7" s="1641"/>
      <c r="I7" s="1641"/>
      <c r="J7" s="1635" t="s">
        <v>247</v>
      </c>
      <c r="K7" s="1635"/>
      <c r="L7" s="1128">
        <f>'Alt Cash Flow  Snapshot No Plan'!M54</f>
        <v>0</v>
      </c>
      <c r="M7" s="1131" t="s">
        <v>248</v>
      </c>
      <c r="N7" s="1142">
        <f>L7-G2</f>
        <v>-50000</v>
      </c>
      <c r="O7" s="724"/>
      <c r="P7" s="728"/>
      <c r="S7" s="728"/>
    </row>
    <row r="8" spans="1:19" ht="20.3">
      <c r="I8" s="1620"/>
      <c r="J8" s="1620"/>
      <c r="K8" s="1114"/>
      <c r="L8" s="1115"/>
      <c r="M8" s="1115"/>
      <c r="O8" s="724"/>
      <c r="P8" s="728"/>
      <c r="Q8" s="723"/>
      <c r="R8" s="724"/>
      <c r="S8" s="728"/>
    </row>
    <row r="9" spans="1:19" ht="20.3">
      <c r="A9" s="1121" t="s">
        <v>249</v>
      </c>
      <c r="B9" s="1127" t="s">
        <v>243</v>
      </c>
      <c r="C9" s="1128">
        <f>'Alt Cash Flow  Snapshot No Plan'!M49</f>
        <v>0</v>
      </c>
      <c r="D9" s="1636" t="s">
        <v>244</v>
      </c>
      <c r="E9" s="1636"/>
      <c r="F9" s="1636"/>
      <c r="G9" s="1172">
        <f>'Alt Cash Flow  Snapshot No Plan'!O49</f>
        <v>0</v>
      </c>
      <c r="H9" s="1137"/>
      <c r="I9" s="1137"/>
      <c r="J9" s="1138"/>
      <c r="K9" s="1138"/>
      <c r="L9" s="1138"/>
      <c r="M9" s="1138"/>
      <c r="N9" s="1139"/>
      <c r="O9" s="724"/>
      <c r="P9" s="728"/>
      <c r="S9" s="728"/>
    </row>
    <row r="10" spans="1:19" ht="20.3">
      <c r="A10" s="1121"/>
      <c r="B10" s="1121"/>
      <c r="C10" s="1121"/>
      <c r="D10" s="1121"/>
      <c r="E10" s="1121"/>
      <c r="F10" s="1121"/>
      <c r="G10" s="1121"/>
      <c r="H10" s="1121"/>
      <c r="I10" s="1121"/>
      <c r="J10" s="1121"/>
      <c r="K10" s="1121"/>
      <c r="L10" s="1121"/>
      <c r="M10" s="1121"/>
      <c r="N10" s="1121"/>
      <c r="O10" s="724"/>
      <c r="P10" s="728"/>
      <c r="S10" s="728"/>
    </row>
    <row r="11" spans="1:19" ht="17.55" customHeight="1">
      <c r="I11" s="1637"/>
      <c r="J11" s="1637"/>
      <c r="K11" s="670"/>
      <c r="L11" s="670"/>
      <c r="M11" s="670"/>
      <c r="O11" s="724"/>
      <c r="P11" s="728"/>
      <c r="S11" s="728"/>
    </row>
    <row r="12" spans="1:19" ht="20.3">
      <c r="A12" s="1638" t="s">
        <v>250</v>
      </c>
      <c r="B12" s="1638"/>
      <c r="C12" s="1638"/>
      <c r="D12" s="1638"/>
      <c r="E12" s="1638"/>
      <c r="F12" s="1638"/>
      <c r="G12" s="1638"/>
      <c r="I12" s="262"/>
      <c r="J12" s="1639" t="s">
        <v>251</v>
      </c>
      <c r="K12" s="1639"/>
      <c r="L12" s="1639"/>
      <c r="M12" s="1639"/>
      <c r="N12" s="1639"/>
      <c r="O12" s="724"/>
      <c r="P12" s="728"/>
      <c r="S12" s="728"/>
    </row>
    <row r="13" spans="1:19" ht="21.6" customHeight="1">
      <c r="A13" s="1125" t="s">
        <v>252</v>
      </c>
      <c r="B13" s="1127" t="s">
        <v>243</v>
      </c>
      <c r="C13" s="1128" t="e">
        <f>'[1]Stem Gold Immediate Plan '!M24</f>
        <v>#REF!</v>
      </c>
      <c r="D13" s="1640" t="s">
        <v>244</v>
      </c>
      <c r="E13" s="1640"/>
      <c r="F13" s="1640"/>
      <c r="G13" s="1133" t="e">
        <f>C13-G2</f>
        <v>#REF!</v>
      </c>
      <c r="I13" s="1116"/>
      <c r="J13" s="1631" t="s">
        <v>253</v>
      </c>
      <c r="K13" s="1631"/>
      <c r="L13" s="1130" t="e">
        <f>'[1]Stem Gold Immediate Plan '!M49</f>
        <v>#REF!</v>
      </c>
      <c r="M13" s="1131" t="s">
        <v>246</v>
      </c>
      <c r="N13" s="1132" t="e">
        <f>L13-G2</f>
        <v>#REF!</v>
      </c>
      <c r="O13" s="724"/>
      <c r="P13" s="728"/>
      <c r="S13" s="728"/>
    </row>
    <row r="14" spans="1:19" ht="17.7">
      <c r="I14" s="1106"/>
      <c r="J14" s="1106"/>
      <c r="K14" s="1106"/>
      <c r="L14" s="1106"/>
      <c r="M14" s="1106"/>
    </row>
    <row r="15" spans="1:19" ht="20.3">
      <c r="A15" s="1134" t="s">
        <v>254</v>
      </c>
      <c r="B15" s="1127" t="s">
        <v>243</v>
      </c>
      <c r="C15" s="1128" t="e">
        <f>'[1]Stem Gold Immediate Plan '!M34</f>
        <v>#REF!</v>
      </c>
      <c r="D15" s="1627" t="s">
        <v>244</v>
      </c>
      <c r="E15" s="1627"/>
      <c r="F15" s="1627"/>
      <c r="G15" s="1135" t="e">
        <f>C15-G2</f>
        <v>#REF!</v>
      </c>
      <c r="I15" s="1106"/>
      <c r="J15" s="1622" t="s">
        <v>255</v>
      </c>
      <c r="K15" s="1622"/>
      <c r="L15" s="1128" t="e">
        <f>'[1]Stem Gold Immediate Plan '!M54</f>
        <v>#REF!</v>
      </c>
      <c r="M15" s="1131" t="s">
        <v>248</v>
      </c>
      <c r="N15" s="1136" t="e">
        <f>L15-G2</f>
        <v>#REF!</v>
      </c>
    </row>
    <row r="16" spans="1:19" ht="20.3">
      <c r="I16" s="236"/>
      <c r="J16" s="1108"/>
      <c r="K16" s="930"/>
      <c r="L16" s="930"/>
      <c r="M16" s="736"/>
    </row>
    <row r="17" spans="1:19" ht="20.3">
      <c r="A17" s="1134" t="s">
        <v>249</v>
      </c>
      <c r="B17" s="1127" t="s">
        <v>243</v>
      </c>
      <c r="C17" s="1128" t="e">
        <f>'[1]Stem Gold Immediate Plan '!M44</f>
        <v>#REF!</v>
      </c>
      <c r="D17" s="1627" t="s">
        <v>244</v>
      </c>
      <c r="E17" s="1627"/>
      <c r="F17" s="1627"/>
      <c r="G17" s="1135" t="e">
        <f>C17-G2</f>
        <v>#REF!</v>
      </c>
      <c r="I17" s="931"/>
      <c r="J17" s="1628"/>
      <c r="K17" s="1628"/>
      <c r="L17" s="1628"/>
      <c r="M17" s="1628"/>
      <c r="N17" s="1628"/>
    </row>
    <row r="18" spans="1:19" ht="23.6">
      <c r="I18" s="932"/>
      <c r="J18" s="933"/>
      <c r="K18" s="935"/>
      <c r="L18" s="936"/>
      <c r="M18" s="738"/>
    </row>
    <row r="19" spans="1:19" ht="17.7">
      <c r="I19" s="256"/>
      <c r="J19" s="678"/>
      <c r="K19" s="934"/>
      <c r="L19" s="934"/>
      <c r="M19" s="937"/>
      <c r="O19" s="729"/>
      <c r="P19" s="730"/>
      <c r="Q19" s="723"/>
      <c r="R19" s="723"/>
      <c r="S19" s="730"/>
    </row>
    <row r="20" spans="1:19" ht="20.3">
      <c r="A20" s="1629" t="s">
        <v>256</v>
      </c>
      <c r="B20" s="1629"/>
      <c r="C20" s="1629"/>
      <c r="D20" s="1629"/>
      <c r="E20" s="1629"/>
      <c r="F20" s="1629"/>
      <c r="G20" s="1629"/>
      <c r="I20" s="262"/>
      <c r="J20" s="1630" t="s">
        <v>257</v>
      </c>
      <c r="K20" s="1630"/>
      <c r="L20" s="1630"/>
      <c r="M20" s="1630"/>
      <c r="N20" s="1630"/>
      <c r="O20" s="724"/>
      <c r="P20" s="728"/>
      <c r="S20" s="728"/>
    </row>
    <row r="21" spans="1:19" ht="24.25">
      <c r="A21" s="1117" t="s">
        <v>252</v>
      </c>
      <c r="B21" s="1127" t="s">
        <v>243</v>
      </c>
      <c r="C21" s="1128" t="e">
        <f>'[2]Silver Plan "2" '!M24</f>
        <v>#REF!</v>
      </c>
      <c r="D21" s="1621" t="s">
        <v>244</v>
      </c>
      <c r="E21" s="1621"/>
      <c r="F21" s="1621"/>
      <c r="G21" s="1129" t="e">
        <f>C21-G2</f>
        <v>#REF!</v>
      </c>
      <c r="I21" s="1109"/>
      <c r="J21" s="1631" t="s">
        <v>253</v>
      </c>
      <c r="K21" s="1631"/>
      <c r="L21" s="1130" t="e">
        <f>'[2]Silver Plan "2" '!M49</f>
        <v>#REF!</v>
      </c>
      <c r="M21" s="1131" t="s">
        <v>246</v>
      </c>
      <c r="N21" s="1132" t="e">
        <f>L21-G2</f>
        <v>#REF!</v>
      </c>
      <c r="O21" s="724"/>
      <c r="P21" s="728"/>
    </row>
    <row r="22" spans="1:19" ht="23.6">
      <c r="I22" s="156"/>
      <c r="J22" s="937"/>
      <c r="K22" s="938"/>
      <c r="L22" s="937"/>
      <c r="M22" s="932"/>
      <c r="O22" s="724"/>
      <c r="P22" s="728"/>
    </row>
    <row r="23" spans="1:19" ht="20.3">
      <c r="A23" s="1117" t="s">
        <v>254</v>
      </c>
      <c r="B23" s="1127" t="s">
        <v>243</v>
      </c>
      <c r="C23" s="1128" t="e">
        <f>'[2]Silver Plan "2" '!M34</f>
        <v>#REF!</v>
      </c>
      <c r="D23" s="1621" t="s">
        <v>244</v>
      </c>
      <c r="E23" s="1621"/>
      <c r="F23" s="1621"/>
      <c r="G23" s="1135" t="e">
        <f>C23-G2</f>
        <v>#REF!</v>
      </c>
      <c r="I23" s="153"/>
      <c r="J23" s="1622" t="s">
        <v>255</v>
      </c>
      <c r="K23" s="1622"/>
      <c r="L23" s="1128" t="e">
        <f>'[2]Silver Plan "2" '!M54</f>
        <v>#REF!</v>
      </c>
      <c r="M23" s="1131" t="s">
        <v>248</v>
      </c>
      <c r="N23" s="1132" t="e">
        <f>L23-G2</f>
        <v>#REF!</v>
      </c>
      <c r="O23" s="724"/>
      <c r="P23" s="728"/>
    </row>
    <row r="24" spans="1:19" ht="24.25">
      <c r="I24" s="1107"/>
      <c r="J24" s="1107"/>
      <c r="K24" s="1107"/>
      <c r="L24" s="1107"/>
      <c r="M24" s="1107"/>
      <c r="O24" s="724"/>
      <c r="P24" s="728"/>
    </row>
    <row r="25" spans="1:19" ht="20.3">
      <c r="A25" s="1117" t="s">
        <v>249</v>
      </c>
      <c r="B25" s="1127" t="s">
        <v>243</v>
      </c>
      <c r="C25" s="1028" t="e">
        <f>'[2]Silver Plan "2" '!M44</f>
        <v>#REF!</v>
      </c>
      <c r="D25" s="1621" t="s">
        <v>244</v>
      </c>
      <c r="E25" s="1621"/>
      <c r="F25" s="1621"/>
      <c r="G25" s="1135" t="e">
        <f>C25-G2</f>
        <v>#REF!</v>
      </c>
      <c r="I25" s="1108"/>
      <c r="J25" s="1623"/>
      <c r="K25" s="1623"/>
      <c r="L25" s="1623"/>
      <c r="M25" s="1623"/>
      <c r="N25" s="1623"/>
      <c r="O25" s="724"/>
      <c r="P25" s="728"/>
    </row>
    <row r="26" spans="1:19" ht="17.55" customHeight="1">
      <c r="I26" s="931"/>
      <c r="J26" s="722"/>
      <c r="K26" s="236"/>
      <c r="L26" s="236"/>
      <c r="M26" s="737"/>
      <c r="O26" s="724"/>
      <c r="P26" s="728"/>
    </row>
    <row r="27" spans="1:19" ht="18" customHeight="1">
      <c r="I27" s="932"/>
      <c r="J27" s="933"/>
      <c r="K27" s="935"/>
      <c r="L27" s="936"/>
      <c r="M27" s="738"/>
      <c r="O27" s="724"/>
      <c r="P27" s="728"/>
    </row>
    <row r="28" spans="1:19" ht="18" customHeight="1">
      <c r="I28" s="256"/>
      <c r="J28" s="678"/>
      <c r="K28" s="934"/>
      <c r="L28" s="934"/>
      <c r="M28" s="937"/>
      <c r="O28" s="724"/>
      <c r="P28" s="728"/>
    </row>
    <row r="29" spans="1:19" ht="18" customHeight="1">
      <c r="I29" s="635"/>
      <c r="J29" s="71"/>
      <c r="K29" s="670"/>
      <c r="L29" s="670"/>
      <c r="M29" s="740"/>
      <c r="O29" s="724"/>
      <c r="P29" s="728"/>
    </row>
    <row r="30" spans="1:19" ht="18.649999999999999" customHeight="1">
      <c r="I30" s="1109"/>
      <c r="J30" s="1109"/>
      <c r="K30" s="1109"/>
      <c r="L30" s="1109"/>
      <c r="M30" s="1109"/>
      <c r="O30" s="724"/>
      <c r="P30" s="728"/>
    </row>
    <row r="31" spans="1:19" ht="23.6">
      <c r="I31" s="156"/>
      <c r="J31" s="937"/>
      <c r="K31" s="938"/>
      <c r="L31" s="937"/>
      <c r="M31" s="932"/>
      <c r="N31" s="89"/>
      <c r="O31" s="729"/>
      <c r="P31" s="730"/>
    </row>
    <row r="33" spans="9:13" ht="20.3">
      <c r="I33" s="1624"/>
      <c r="J33" s="1625"/>
      <c r="K33" s="1625"/>
      <c r="L33" s="1625"/>
      <c r="M33" s="1625"/>
    </row>
    <row r="34" spans="9:13" ht="20.3">
      <c r="I34" s="1626"/>
      <c r="J34" s="1626"/>
      <c r="K34" s="1626"/>
      <c r="L34" s="1626"/>
      <c r="M34" s="1626"/>
    </row>
    <row r="36" spans="9:13" ht="18.649999999999999" customHeight="1">
      <c r="I36" s="1620"/>
      <c r="J36" s="1620"/>
      <c r="K36" s="1620"/>
      <c r="L36" s="1620"/>
      <c r="M36" s="1620"/>
    </row>
    <row r="37" spans="9:13" ht="18.649999999999999" customHeight="1">
      <c r="I37" s="383"/>
      <c r="J37" s="383"/>
      <c r="K37" s="701"/>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75"/>
      <c r="J41" s="1575"/>
      <c r="K41" s="1575"/>
      <c r="L41" s="1575"/>
      <c r="M41" s="157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99</v>
      </c>
    </row>
  </sheetData>
  <mergeCells count="36">
    <mergeCell ref="A1:M1"/>
    <mergeCell ref="C2:F2"/>
    <mergeCell ref="G2:I2"/>
    <mergeCell ref="J2:K2"/>
    <mergeCell ref="A4:G4"/>
    <mergeCell ref="J4:N4"/>
    <mergeCell ref="H4:I4"/>
    <mergeCell ref="D15:F15"/>
    <mergeCell ref="J15:K15"/>
    <mergeCell ref="D5:F5"/>
    <mergeCell ref="J5:K5"/>
    <mergeCell ref="D7:F7"/>
    <mergeCell ref="J7:K7"/>
    <mergeCell ref="I8:J8"/>
    <mergeCell ref="D9:F9"/>
    <mergeCell ref="I11:J11"/>
    <mergeCell ref="A12:G12"/>
    <mergeCell ref="J12:N12"/>
    <mergeCell ref="D13:F13"/>
    <mergeCell ref="J13:K13"/>
    <mergeCell ref="H5:I5"/>
    <mergeCell ref="H7:I7"/>
    <mergeCell ref="D17:F17"/>
    <mergeCell ref="J17:N17"/>
    <mergeCell ref="A20:G20"/>
    <mergeCell ref="J20:N20"/>
    <mergeCell ref="D21:F21"/>
    <mergeCell ref="J21:K21"/>
    <mergeCell ref="I36:M36"/>
    <mergeCell ref="I41:M41"/>
    <mergeCell ref="D23:F23"/>
    <mergeCell ref="J23:K23"/>
    <mergeCell ref="D25:F25"/>
    <mergeCell ref="J25:N25"/>
    <mergeCell ref="I33:M33"/>
    <mergeCell ref="I34:M34"/>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M25"/>
  <sheetViews>
    <sheetView showGridLines="0" workbookViewId="0"/>
  </sheetViews>
  <sheetFormatPr defaultRowHeight="12.45"/>
  <cols>
    <col min="3" max="3" width="10.75" customWidth="1"/>
    <col min="10" max="10" width="11.875" customWidth="1"/>
    <col min="11" max="11" width="12" customWidth="1"/>
    <col min="12" max="12" width="10.875" customWidth="1"/>
  </cols>
  <sheetData>
    <row r="1" spans="1:13" ht="18.350000000000001">
      <c r="A1" s="120" t="s">
        <v>72</v>
      </c>
      <c r="B1" s="121" t="s">
        <v>73</v>
      </c>
      <c r="C1" s="122" t="s">
        <v>74</v>
      </c>
      <c r="D1" s="2204" t="s">
        <v>936</v>
      </c>
      <c r="E1" s="2204"/>
      <c r="F1" s="2204"/>
      <c r="G1" s="2204"/>
      <c r="H1" s="2204"/>
      <c r="I1" s="2204"/>
      <c r="J1" s="2204"/>
      <c r="K1" s="2204"/>
      <c r="L1" s="2204"/>
      <c r="M1" s="2204"/>
    </row>
    <row r="2" spans="1:13" ht="15.05">
      <c r="A2" s="140">
        <v>61000</v>
      </c>
      <c r="B2" s="141">
        <v>500000</v>
      </c>
      <c r="C2" s="142">
        <v>1150000</v>
      </c>
      <c r="D2" s="2205" t="s">
        <v>891</v>
      </c>
      <c r="E2" s="2205"/>
      <c r="F2" s="2205"/>
      <c r="G2" s="2205"/>
      <c r="H2" s="2205"/>
      <c r="I2" s="2205"/>
      <c r="J2" s="2205"/>
      <c r="K2" s="2205"/>
      <c r="L2" s="2205"/>
      <c r="M2" s="2205"/>
    </row>
    <row r="3" spans="1:13">
      <c r="I3" s="75"/>
      <c r="J3" s="75"/>
      <c r="K3" s="75"/>
      <c r="L3" s="75"/>
      <c r="M3" s="75"/>
    </row>
    <row r="4" spans="1:13" ht="15.05">
      <c r="I4" s="2206" t="s">
        <v>937</v>
      </c>
      <c r="J4" s="2206"/>
      <c r="K4" s="2206"/>
      <c r="L4" s="2206"/>
      <c r="M4" s="2206"/>
    </row>
    <row r="5" spans="1:13">
      <c r="I5" s="1891"/>
      <c r="J5" s="1891"/>
      <c r="K5" s="1891"/>
      <c r="L5" s="1891"/>
      <c r="M5" s="1891"/>
    </row>
    <row r="6" spans="1:13" ht="15.05">
      <c r="I6" s="1818" t="s">
        <v>938</v>
      </c>
      <c r="J6" s="2202"/>
      <c r="K6" s="2202"/>
      <c r="L6" s="2202"/>
      <c r="M6" s="2202"/>
    </row>
    <row r="7" spans="1:13" ht="15.75">
      <c r="I7" s="2203" t="s">
        <v>939</v>
      </c>
      <c r="J7" s="2202"/>
      <c r="K7" s="2202"/>
      <c r="L7" s="2202"/>
      <c r="M7" s="2202"/>
    </row>
    <row r="8" spans="1:13" ht="15.05">
      <c r="I8" s="129" t="s">
        <v>252</v>
      </c>
      <c r="J8" s="123">
        <v>81854.070000000007</v>
      </c>
      <c r="K8" s="124">
        <v>68854.070000000007</v>
      </c>
      <c r="L8" s="125">
        <v>42563.43</v>
      </c>
      <c r="M8" s="75"/>
    </row>
    <row r="9" spans="1:13" ht="15.05">
      <c r="I9" s="129" t="s">
        <v>940</v>
      </c>
      <c r="J9" s="126">
        <v>85918.06</v>
      </c>
      <c r="K9" s="1818" t="s">
        <v>941</v>
      </c>
      <c r="L9" s="1818"/>
      <c r="M9" s="1818"/>
    </row>
    <row r="10" spans="1:13">
      <c r="I10" s="75"/>
      <c r="J10" s="75"/>
      <c r="K10" s="75"/>
      <c r="L10" s="75"/>
      <c r="M10" s="75"/>
    </row>
    <row r="11" spans="1:13" ht="15.05">
      <c r="I11" s="1818" t="s">
        <v>942</v>
      </c>
      <c r="J11" s="1818"/>
      <c r="K11" s="1818"/>
      <c r="L11" s="1818"/>
      <c r="M11" s="1818"/>
    </row>
    <row r="12" spans="1:13" ht="15.75">
      <c r="I12" s="2203" t="s">
        <v>939</v>
      </c>
      <c r="J12" s="2202"/>
      <c r="K12" s="2202"/>
      <c r="L12" s="2202"/>
      <c r="M12" s="2202"/>
    </row>
    <row r="13" spans="1:13" ht="15.05">
      <c r="I13" s="129" t="s">
        <v>252</v>
      </c>
      <c r="J13" s="123">
        <v>91252</v>
      </c>
      <c r="K13" s="127">
        <v>105872.67</v>
      </c>
      <c r="L13" s="128">
        <v>80619.86</v>
      </c>
      <c r="M13" s="75"/>
    </row>
    <row r="14" spans="1:13" ht="15.05">
      <c r="I14" s="129" t="s">
        <v>943</v>
      </c>
      <c r="J14" s="123">
        <v>120273.87</v>
      </c>
      <c r="K14" s="1818" t="s">
        <v>944</v>
      </c>
      <c r="L14" s="1818"/>
      <c r="M14" s="1818"/>
    </row>
    <row r="15" spans="1:13">
      <c r="I15" s="75"/>
      <c r="J15" s="75"/>
      <c r="K15" s="75"/>
      <c r="L15" s="75"/>
      <c r="M15" s="75"/>
    </row>
    <row r="16" spans="1:13" ht="15.05">
      <c r="I16" s="1818" t="s">
        <v>945</v>
      </c>
      <c r="J16" s="1818"/>
      <c r="K16" s="1818"/>
      <c r="L16" s="1818"/>
      <c r="M16" s="1818"/>
    </row>
    <row r="17" spans="9:13" ht="15.75">
      <c r="I17" s="2203" t="s">
        <v>939</v>
      </c>
      <c r="J17" s="2202"/>
      <c r="K17" s="2202"/>
      <c r="L17" s="2202"/>
      <c r="M17" s="2202"/>
    </row>
    <row r="18" spans="9:13" ht="15.05">
      <c r="I18" s="129" t="s">
        <v>252</v>
      </c>
      <c r="J18" s="123">
        <v>101829</v>
      </c>
      <c r="K18" s="127">
        <v>90674.69</v>
      </c>
      <c r="L18" s="128">
        <v>62768.480000000003</v>
      </c>
      <c r="M18" s="75"/>
    </row>
    <row r="19" spans="9:13" ht="15.05">
      <c r="I19" s="129" t="s">
        <v>940</v>
      </c>
      <c r="J19" s="123">
        <v>106123.06</v>
      </c>
      <c r="K19" s="1818" t="s">
        <v>946</v>
      </c>
      <c r="L19" s="1891"/>
      <c r="M19" s="1891"/>
    </row>
    <row r="20" spans="9:13">
      <c r="I20" s="1891"/>
      <c r="J20" s="1891"/>
      <c r="K20" s="1891"/>
      <c r="L20" s="1891"/>
      <c r="M20" s="1891"/>
    </row>
    <row r="21" spans="9:13" ht="15.05">
      <c r="I21" s="1818" t="s">
        <v>947</v>
      </c>
      <c r="J21" s="2202"/>
      <c r="K21" s="2202"/>
      <c r="L21" s="2202"/>
      <c r="M21" s="2202"/>
    </row>
    <row r="22" spans="9:13" ht="15.05">
      <c r="I22" s="2202" t="s">
        <v>948</v>
      </c>
      <c r="J22" s="2202"/>
      <c r="K22" s="2202"/>
      <c r="L22" s="2202"/>
      <c r="M22" s="2202"/>
    </row>
    <row r="23" spans="9:13" ht="15.05">
      <c r="I23" s="2202" t="s">
        <v>949</v>
      </c>
      <c r="J23" s="2202"/>
      <c r="K23" s="2202"/>
      <c r="L23" s="2202"/>
      <c r="M23" s="2202"/>
    </row>
    <row r="24" spans="9:13" ht="15.05">
      <c r="I24" s="2202" t="s">
        <v>950</v>
      </c>
      <c r="J24" s="2202"/>
      <c r="K24" s="2202"/>
      <c r="L24" s="2202"/>
      <c r="M24" s="2202"/>
    </row>
    <row r="25" spans="9:13">
      <c r="I25" s="1891"/>
      <c r="J25" s="1891"/>
      <c r="K25" s="1891"/>
      <c r="L25" s="1891"/>
      <c r="M25" s="1891"/>
    </row>
  </sheetData>
  <mergeCells count="19">
    <mergeCell ref="I17:M17"/>
    <mergeCell ref="D1:M1"/>
    <mergeCell ref="D2:M2"/>
    <mergeCell ref="I4:M4"/>
    <mergeCell ref="I5:M5"/>
    <mergeCell ref="I6:M6"/>
    <mergeCell ref="I7:M7"/>
    <mergeCell ref="K9:M9"/>
    <mergeCell ref="I11:M11"/>
    <mergeCell ref="I12:M12"/>
    <mergeCell ref="K14:M14"/>
    <mergeCell ref="I16:M16"/>
    <mergeCell ref="I25:M25"/>
    <mergeCell ref="K19:M19"/>
    <mergeCell ref="I20:M20"/>
    <mergeCell ref="I21:M21"/>
    <mergeCell ref="I22:M22"/>
    <mergeCell ref="I23:M23"/>
    <mergeCell ref="I24:M24"/>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T57"/>
  <sheetViews>
    <sheetView showGridLines="0" workbookViewId="0"/>
  </sheetViews>
  <sheetFormatPr defaultRowHeight="12.45"/>
  <cols>
    <col min="1" max="1" width="12.875" customWidth="1"/>
    <col min="2" max="3" width="15.1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951</v>
      </c>
      <c r="E1" s="2196"/>
      <c r="F1" s="2196"/>
      <c r="G1" s="2196"/>
      <c r="H1" s="2196"/>
      <c r="I1" s="2196"/>
      <c r="J1" s="2196"/>
      <c r="K1" s="2196"/>
      <c r="L1" s="2196"/>
      <c r="M1" s="2196"/>
    </row>
    <row r="2" spans="1:13" ht="18.350000000000001">
      <c r="A2" s="132">
        <v>70000</v>
      </c>
      <c r="B2" s="131">
        <v>1086838</v>
      </c>
      <c r="C2" s="130">
        <v>295000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v>95000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2169" t="s">
        <v>952</v>
      </c>
      <c r="J5" s="1723"/>
      <c r="K5" s="1723"/>
      <c r="L5" s="1723"/>
      <c r="M5" s="1723"/>
    </row>
    <row r="6" spans="1:13">
      <c r="I6" s="2207"/>
      <c r="J6" s="2207"/>
      <c r="K6" s="2207"/>
      <c r="L6" s="2207"/>
      <c r="M6" s="2207"/>
    </row>
    <row r="7" spans="1:13" ht="20.3">
      <c r="I7" s="2192" t="s">
        <v>953</v>
      </c>
      <c r="J7" s="2192"/>
      <c r="K7" s="2192"/>
      <c r="L7" s="2192"/>
      <c r="M7" s="2192"/>
    </row>
    <row r="8" spans="1:13" ht="18.350000000000001">
      <c r="I8" s="264"/>
      <c r="J8" s="231" t="s">
        <v>145</v>
      </c>
      <c r="K8" s="232" t="s">
        <v>785</v>
      </c>
      <c r="L8" s="233" t="s">
        <v>786</v>
      </c>
      <c r="M8" s="287"/>
    </row>
    <row r="9" spans="1:13" ht="18.350000000000001">
      <c r="I9" s="278" t="s">
        <v>800</v>
      </c>
      <c r="J9" s="236">
        <f>J3</f>
        <v>95000</v>
      </c>
      <c r="K9" s="236">
        <f>J3</f>
        <v>95000</v>
      </c>
      <c r="L9" s="236">
        <f>J3</f>
        <v>95000</v>
      </c>
      <c r="M9" s="263"/>
    </row>
    <row r="10" spans="1:13" ht="17.7">
      <c r="I10" s="277" t="s">
        <v>954</v>
      </c>
      <c r="J10" s="279">
        <v>61793.67</v>
      </c>
      <c r="K10" s="240">
        <v>47822.99</v>
      </c>
      <c r="L10" s="241">
        <v>51676.58</v>
      </c>
      <c r="M10" s="262"/>
    </row>
    <row r="11" spans="1:13" ht="18.350000000000001">
      <c r="I11" s="265" t="s">
        <v>802</v>
      </c>
      <c r="J11" s="243">
        <f>J9-J10</f>
        <v>33206.33</v>
      </c>
      <c r="K11" s="261">
        <f>K9-K10</f>
        <v>47177.01</v>
      </c>
      <c r="L11" s="261">
        <f>L9-L10</f>
        <v>43323.42</v>
      </c>
      <c r="M11" s="286"/>
    </row>
    <row r="12" spans="1:13" ht="15.75">
      <c r="I12" s="2104"/>
      <c r="J12" s="2104"/>
      <c r="K12" s="2104"/>
      <c r="L12" s="2104"/>
      <c r="M12" s="2104"/>
    </row>
    <row r="13" spans="1:13" ht="20.3">
      <c r="I13" s="2192" t="s">
        <v>955</v>
      </c>
      <c r="J13" s="2192"/>
      <c r="K13" s="2192"/>
      <c r="L13" s="2192"/>
      <c r="M13" s="2192"/>
    </row>
    <row r="14" spans="1:13" ht="20.3">
      <c r="I14" s="289"/>
      <c r="J14" s="231" t="s">
        <v>145</v>
      </c>
      <c r="K14" s="232" t="s">
        <v>785</v>
      </c>
      <c r="L14" s="233" t="s">
        <v>786</v>
      </c>
      <c r="M14" s="289"/>
    </row>
    <row r="15" spans="1:13" ht="18.350000000000001">
      <c r="I15" s="278" t="s">
        <v>800</v>
      </c>
      <c r="J15" s="236">
        <f>J9</f>
        <v>95000</v>
      </c>
      <c r="K15" s="236">
        <f>J9</f>
        <v>95000</v>
      </c>
      <c r="L15" s="236">
        <f>J9</f>
        <v>95000</v>
      </c>
      <c r="M15" s="262"/>
    </row>
    <row r="16" spans="1:13" ht="17.7">
      <c r="I16" s="277" t="s">
        <v>954</v>
      </c>
      <c r="J16" s="280">
        <v>101853.19</v>
      </c>
      <c r="K16" s="240">
        <v>119413.3</v>
      </c>
      <c r="L16" s="241">
        <v>92489.3</v>
      </c>
      <c r="M16" s="288"/>
    </row>
    <row r="17" spans="9:14" ht="18.350000000000001">
      <c r="I17" s="265" t="s">
        <v>802</v>
      </c>
      <c r="J17" s="236">
        <f>J15-J16</f>
        <v>-6853.1900000000023</v>
      </c>
      <c r="K17" s="275">
        <f>K15-K16</f>
        <v>-24413.300000000003</v>
      </c>
      <c r="L17" s="261">
        <f>L15-L16</f>
        <v>2510.6999999999971</v>
      </c>
      <c r="M17" s="288"/>
    </row>
    <row r="18" spans="9:14" ht="14.4">
      <c r="I18" s="288"/>
      <c r="J18" s="288"/>
      <c r="K18" s="288"/>
      <c r="L18" s="288"/>
      <c r="M18" s="288"/>
    </row>
    <row r="19" spans="9:14" ht="20.3">
      <c r="I19" s="2192" t="s">
        <v>956</v>
      </c>
      <c r="J19" s="2192"/>
      <c r="K19" s="2192"/>
      <c r="L19" s="2192"/>
      <c r="M19" s="2192"/>
    </row>
    <row r="20" spans="9:14" ht="20.3">
      <c r="I20" s="289"/>
      <c r="J20" s="231" t="s">
        <v>145</v>
      </c>
      <c r="K20" s="232" t="s">
        <v>785</v>
      </c>
      <c r="L20" s="233" t="s">
        <v>786</v>
      </c>
      <c r="M20" s="289"/>
    </row>
    <row r="21" spans="9:14" ht="18.350000000000001">
      <c r="I21" s="278" t="s">
        <v>800</v>
      </c>
      <c r="J21" s="236">
        <f>J15</f>
        <v>95000</v>
      </c>
      <c r="K21" s="236">
        <f>J15</f>
        <v>95000</v>
      </c>
      <c r="L21" s="236">
        <f>J15</f>
        <v>95000</v>
      </c>
      <c r="M21" s="285"/>
    </row>
    <row r="22" spans="9:14" ht="17.7">
      <c r="I22" s="277" t="s">
        <v>954</v>
      </c>
      <c r="J22" s="280">
        <v>111130.17</v>
      </c>
      <c r="K22" s="240">
        <v>119413.3</v>
      </c>
      <c r="L22" s="241">
        <v>92489.3</v>
      </c>
      <c r="M22" s="283"/>
    </row>
    <row r="23" spans="9:14" ht="18.350000000000001">
      <c r="I23" s="265" t="s">
        <v>802</v>
      </c>
      <c r="J23" s="236">
        <f>J21-J22</f>
        <v>-16130.169999999998</v>
      </c>
      <c r="K23" s="275">
        <f>K21-K22</f>
        <v>-24413.300000000003</v>
      </c>
      <c r="L23" s="261">
        <f>L21-L22</f>
        <v>2510.6999999999971</v>
      </c>
      <c r="M23" s="284"/>
    </row>
    <row r="24" spans="9:14" ht="15.75">
      <c r="I24" s="2201"/>
      <c r="J24" s="2201"/>
      <c r="K24" s="2201"/>
      <c r="L24" s="2201"/>
      <c r="M24" s="2201"/>
    </row>
    <row r="25" spans="9:14" ht="20.3">
      <c r="I25" s="2192" t="s">
        <v>957</v>
      </c>
      <c r="J25" s="2192"/>
      <c r="K25" s="2192"/>
      <c r="L25" s="2192"/>
      <c r="M25" s="2192"/>
    </row>
    <row r="26" spans="9:14" ht="20.3">
      <c r="I26" s="289"/>
      <c r="J26" s="231" t="s">
        <v>145</v>
      </c>
      <c r="K26" s="232" t="s">
        <v>785</v>
      </c>
      <c r="L26" s="233" t="s">
        <v>786</v>
      </c>
      <c r="M26" s="291"/>
    </row>
    <row r="27" spans="9:14" ht="18.350000000000001">
      <c r="I27" s="278" t="s">
        <v>800</v>
      </c>
      <c r="J27" s="236">
        <f>J21</f>
        <v>95000</v>
      </c>
      <c r="K27" s="236">
        <f>J21</f>
        <v>95000</v>
      </c>
      <c r="L27" s="236">
        <f>J21</f>
        <v>95000</v>
      </c>
      <c r="M27" s="292"/>
      <c r="N27" s="211"/>
    </row>
    <row r="28" spans="9:14" ht="17.7">
      <c r="I28" s="277" t="s">
        <v>954</v>
      </c>
      <c r="J28" s="280">
        <v>122343.86</v>
      </c>
      <c r="K28" s="240">
        <v>119413.3</v>
      </c>
      <c r="L28" s="241">
        <v>92489.3</v>
      </c>
      <c r="M28" s="292"/>
    </row>
    <row r="29" spans="9:14" ht="18.350000000000001">
      <c r="I29" s="265" t="s">
        <v>802</v>
      </c>
      <c r="J29" s="236">
        <f>J27-J28</f>
        <v>-27343.86</v>
      </c>
      <c r="K29" s="275">
        <f>K27-K28</f>
        <v>-24413.300000000003</v>
      </c>
      <c r="L29" s="261">
        <f>L27-L28</f>
        <v>2510.6999999999971</v>
      </c>
      <c r="M29" s="290"/>
    </row>
    <row r="30" spans="9:14" ht="15.75">
      <c r="I30" s="2201"/>
      <c r="J30" s="2201"/>
      <c r="K30" s="2201"/>
      <c r="L30" s="2201"/>
      <c r="M30" s="2201"/>
    </row>
    <row r="31" spans="9:14" ht="20.3">
      <c r="I31" s="2192" t="s">
        <v>958</v>
      </c>
      <c r="J31" s="2192"/>
      <c r="K31" s="2192"/>
      <c r="L31" s="2192"/>
      <c r="M31" s="2192"/>
    </row>
    <row r="32" spans="9:14" ht="18.350000000000001">
      <c r="I32" s="290"/>
      <c r="J32" s="231" t="s">
        <v>145</v>
      </c>
      <c r="K32" s="232" t="s">
        <v>785</v>
      </c>
      <c r="L32" s="233" t="s">
        <v>786</v>
      </c>
      <c r="M32" s="290"/>
    </row>
    <row r="33" spans="9:13" ht="18.350000000000001">
      <c r="I33" s="278" t="s">
        <v>800</v>
      </c>
      <c r="J33" s="236">
        <f>J27</f>
        <v>95000</v>
      </c>
      <c r="K33" s="236">
        <f>J27</f>
        <v>95000</v>
      </c>
      <c r="L33" s="236">
        <f>J27</f>
        <v>95000</v>
      </c>
      <c r="M33" s="292"/>
    </row>
    <row r="34" spans="9:13" ht="17.7">
      <c r="I34" s="277" t="s">
        <v>954</v>
      </c>
      <c r="J34" s="280">
        <v>135594.96</v>
      </c>
      <c r="K34" s="240">
        <v>119413.3</v>
      </c>
      <c r="L34" s="241">
        <v>92489.3</v>
      </c>
      <c r="M34" s="230"/>
    </row>
    <row r="35" spans="9:13" ht="18.350000000000001">
      <c r="I35" s="265" t="s">
        <v>802</v>
      </c>
      <c r="J35" s="236">
        <f>J33-J34</f>
        <v>-40594.959999999992</v>
      </c>
      <c r="K35" s="275">
        <f>K33-K34</f>
        <v>-24413.300000000003</v>
      </c>
      <c r="L35" s="261">
        <f>L33-L34</f>
        <v>2510.6999999999971</v>
      </c>
      <c r="M35" s="276"/>
    </row>
    <row r="36" spans="9:13" ht="15.05">
      <c r="I36" s="1575"/>
      <c r="J36" s="1575"/>
      <c r="K36" s="1575"/>
      <c r="L36" s="1575"/>
      <c r="M36" s="1575"/>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sheetData>
  <mergeCells count="16">
    <mergeCell ref="I24:M24"/>
    <mergeCell ref="I6:M6"/>
    <mergeCell ref="I7:M7"/>
    <mergeCell ref="I12:M12"/>
    <mergeCell ref="I13:M13"/>
    <mergeCell ref="I19:M19"/>
    <mergeCell ref="D1:M1"/>
    <mergeCell ref="D2:M2"/>
    <mergeCell ref="D3:I3"/>
    <mergeCell ref="I4:M4"/>
    <mergeCell ref="I5:M5"/>
    <mergeCell ref="I37:M37"/>
    <mergeCell ref="I30:M30"/>
    <mergeCell ref="I31:M31"/>
    <mergeCell ref="I36:M36"/>
    <mergeCell ref="I25:M25"/>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4" tint="-0.49995422223578601"/>
  </sheetPr>
  <dimension ref="A1:I748"/>
  <sheetViews>
    <sheetView showGridLines="0" workbookViewId="0"/>
  </sheetViews>
  <sheetFormatPr defaultColWidth="9.125" defaultRowHeight="12.45"/>
  <cols>
    <col min="1" max="1" width="5.25" style="89" customWidth="1"/>
    <col min="2" max="2" width="11.25" style="89" customWidth="1"/>
    <col min="3" max="3" width="14.875" style="89" customWidth="1"/>
    <col min="4" max="4" width="16.75" style="89" customWidth="1"/>
    <col min="5" max="5" width="14.25" style="89" customWidth="1"/>
    <col min="6" max="6" width="17.125" style="89" customWidth="1"/>
    <col min="7" max="7" width="9.625" style="89" customWidth="1"/>
    <col min="8" max="8" width="14" style="89" customWidth="1"/>
    <col min="9" max="9" width="5" customWidth="1"/>
    <col min="10" max="10" width="9.25" customWidth="1"/>
  </cols>
  <sheetData>
    <row r="1" spans="1:9" ht="25.55">
      <c r="A1" s="76" t="s">
        <v>959</v>
      </c>
      <c r="B1" s="77"/>
      <c r="C1" s="77"/>
      <c r="D1" s="77"/>
      <c r="E1" s="77"/>
      <c r="F1" s="77"/>
      <c r="G1" s="78"/>
      <c r="H1" s="79"/>
      <c r="I1" s="80"/>
    </row>
    <row r="2" spans="1:9">
      <c r="A2" s="2208"/>
      <c r="B2" s="2208"/>
      <c r="C2" s="2208"/>
      <c r="D2" s="2208"/>
      <c r="E2" s="2208"/>
      <c r="F2" s="81"/>
      <c r="G2" s="81"/>
      <c r="H2" s="82"/>
      <c r="I2" s="80"/>
    </row>
    <row r="3" spans="1:9">
      <c r="A3" s="83"/>
      <c r="B3" s="81"/>
      <c r="C3" s="81"/>
      <c r="D3" s="81"/>
      <c r="E3" s="81"/>
      <c r="F3" s="81"/>
      <c r="G3" s="81"/>
      <c r="H3" s="81"/>
      <c r="I3" s="80"/>
    </row>
    <row r="4" spans="1:9">
      <c r="A4" s="81"/>
      <c r="B4" s="81"/>
      <c r="C4" s="81"/>
      <c r="D4" s="81"/>
      <c r="E4" s="81"/>
      <c r="F4" s="81"/>
      <c r="G4" s="81"/>
      <c r="H4" s="81"/>
      <c r="I4" s="80"/>
    </row>
    <row r="5" spans="1:9" ht="15.05">
      <c r="A5" s="2209" t="s">
        <v>960</v>
      </c>
      <c r="B5" s="2209"/>
      <c r="C5" s="2209"/>
      <c r="D5" s="2209"/>
      <c r="E5" s="2209"/>
      <c r="F5" s="81"/>
      <c r="G5" s="81"/>
      <c r="H5" s="81"/>
      <c r="I5" s="80"/>
    </row>
    <row r="6" spans="1:9" ht="15.05">
      <c r="A6" s="85"/>
      <c r="B6" s="86"/>
      <c r="C6" s="87" t="s">
        <v>961</v>
      </c>
      <c r="D6" s="88">
        <v>495035</v>
      </c>
      <c r="I6" s="80"/>
    </row>
    <row r="7" spans="1:9" ht="15.05">
      <c r="A7" s="90"/>
      <c r="B7" s="86"/>
      <c r="C7" s="87" t="s">
        <v>962</v>
      </c>
      <c r="D7" s="91">
        <v>42583</v>
      </c>
      <c r="F7" s="92"/>
      <c r="G7" s="92"/>
      <c r="I7" s="80"/>
    </row>
    <row r="8" spans="1:9" ht="15.05">
      <c r="A8" s="90"/>
      <c r="B8" s="86"/>
      <c r="C8" s="87" t="s">
        <v>963</v>
      </c>
      <c r="D8" s="93">
        <v>0</v>
      </c>
      <c r="I8" s="80"/>
    </row>
    <row r="9" spans="1:9" ht="15.05">
      <c r="A9" s="90"/>
      <c r="B9" s="86"/>
      <c r="C9" s="87" t="s">
        <v>964</v>
      </c>
      <c r="D9" s="94" t="s">
        <v>965</v>
      </c>
      <c r="F9" s="95" t="s">
        <v>966</v>
      </c>
      <c r="G9" s="96">
        <f>(1+rate/cp)^(cp/ppy)-1</f>
        <v>0</v>
      </c>
      <c r="I9" s="80"/>
    </row>
    <row r="10" spans="1:9" ht="15.05">
      <c r="A10" s="85"/>
      <c r="B10" s="86"/>
      <c r="C10" s="87" t="s">
        <v>967</v>
      </c>
      <c r="D10" s="88">
        <v>37436.519999999997</v>
      </c>
      <c r="F10" s="95" t="s">
        <v>968</v>
      </c>
      <c r="G10" s="92">
        <f>INDEX({26;24;12;6;4;2;1},MATCH(D9,{"Bi-Weekly","Semi-Monthly","Monthly","Bi-Monthly","Quarterly","Semi-Annually","Annually"},0))</f>
        <v>1</v>
      </c>
      <c r="I10" s="80"/>
    </row>
    <row r="11" spans="1:9" ht="14.4">
      <c r="A11" s="90"/>
      <c r="B11" s="86"/>
      <c r="C11" s="87" t="s">
        <v>969</v>
      </c>
      <c r="D11" s="97" t="s">
        <v>970</v>
      </c>
      <c r="F11" s="95" t="s">
        <v>971</v>
      </c>
      <c r="G11" s="92">
        <f>IF(D11="Beginning of Period",1,0)</f>
        <v>1</v>
      </c>
      <c r="I11" s="80"/>
    </row>
    <row r="12" spans="1:9" ht="15.05">
      <c r="A12" s="90"/>
      <c r="B12" s="86"/>
      <c r="C12" s="87" t="s">
        <v>972</v>
      </c>
      <c r="D12" s="93">
        <v>0.02</v>
      </c>
      <c r="E12" s="98"/>
      <c r="F12" s="95" t="s">
        <v>973</v>
      </c>
      <c r="G12" s="96">
        <f>(1+inflation/cp)^(cp/ppy)-1</f>
        <v>2.0000000000000018E-2</v>
      </c>
      <c r="I12" s="80"/>
    </row>
    <row r="13" spans="1:9" ht="15.05">
      <c r="A13" s="90"/>
      <c r="B13" s="86"/>
      <c r="C13" s="87" t="s">
        <v>2</v>
      </c>
      <c r="D13" s="99">
        <v>64</v>
      </c>
      <c r="I13" s="80"/>
    </row>
    <row r="14" spans="1:9" ht="14.4">
      <c r="A14" s="90"/>
      <c r="B14" s="86"/>
      <c r="C14" s="87"/>
      <c r="I14" s="80"/>
    </row>
    <row r="15" spans="1:9" ht="15.05">
      <c r="A15" s="84"/>
      <c r="B15" s="84" t="s">
        <v>974</v>
      </c>
      <c r="C15" s="84"/>
      <c r="D15" s="84"/>
      <c r="E15" s="81"/>
      <c r="F15" s="81"/>
      <c r="G15" s="81"/>
      <c r="H15" s="100"/>
      <c r="I15" s="80"/>
    </row>
    <row r="16" spans="1:9" ht="15.05">
      <c r="A16" s="90"/>
      <c r="B16" s="86"/>
      <c r="C16" s="87" t="s">
        <v>975</v>
      </c>
      <c r="D16" s="101">
        <v>2</v>
      </c>
      <c r="E16" s="81"/>
      <c r="F16" s="81"/>
      <c r="G16" s="81"/>
      <c r="H16" s="100"/>
      <c r="I16" s="80"/>
    </row>
    <row r="17" spans="1:9" ht="15.05">
      <c r="A17" s="90"/>
      <c r="B17" s="86"/>
      <c r="C17" s="87" t="s">
        <v>976</v>
      </c>
      <c r="D17" s="102">
        <f>D13+D16</f>
        <v>66</v>
      </c>
      <c r="E17" s="103"/>
      <c r="F17" s="81"/>
      <c r="G17" s="81"/>
      <c r="H17" s="100"/>
      <c r="I17" s="80"/>
    </row>
    <row r="18" spans="1:9" ht="15.05">
      <c r="A18" s="90"/>
      <c r="B18" s="86"/>
      <c r="C18" s="87" t="s">
        <v>977</v>
      </c>
      <c r="D18" s="101">
        <v>37436.519999999997</v>
      </c>
      <c r="E18" s="81"/>
      <c r="F18" s="81"/>
      <c r="G18" s="81"/>
      <c r="H18" s="100"/>
      <c r="I18" s="80"/>
    </row>
    <row r="19" spans="1:9" ht="15.05">
      <c r="A19" s="90"/>
      <c r="B19" s="86"/>
      <c r="C19" s="87" t="s">
        <v>978</v>
      </c>
      <c r="D19" s="104">
        <f t="array" ref="D19">MAX(IF(ISNUMBER(A26:A748),A26:A748))</f>
        <v>11</v>
      </c>
      <c r="E19" s="103"/>
      <c r="F19" s="81"/>
      <c r="G19" s="81"/>
      <c r="H19" s="100"/>
      <c r="I19" s="80"/>
    </row>
    <row r="20" spans="1:9" ht="15.05">
      <c r="A20" s="90"/>
      <c r="B20" s="86"/>
      <c r="C20" s="87" t="s">
        <v>979</v>
      </c>
      <c r="D20" s="105">
        <f>D17+D19/(IF(D9="Annually",1,12))</f>
        <v>77</v>
      </c>
      <c r="E20" s="103"/>
      <c r="F20" s="81"/>
      <c r="G20" s="81"/>
      <c r="H20" s="100"/>
      <c r="I20" s="80"/>
    </row>
    <row r="21" spans="1:9" ht="15.05">
      <c r="A21" s="90"/>
      <c r="B21" s="86"/>
      <c r="C21" s="87" t="s">
        <v>980</v>
      </c>
      <c r="D21" s="101">
        <f>INDEX(D27:D748,D19+1)</f>
        <v>39480.65</v>
      </c>
      <c r="E21" s="103"/>
      <c r="F21" s="81"/>
      <c r="G21" s="81"/>
      <c r="H21" s="100"/>
      <c r="I21" s="80"/>
    </row>
    <row r="22" spans="1:9" ht="15.05">
      <c r="A22" s="90"/>
      <c r="B22" s="86"/>
      <c r="C22" s="87" t="s">
        <v>981</v>
      </c>
      <c r="D22" s="101">
        <f>SUMIF(C26:C748,"&lt;&gt;#N/A")</f>
        <v>0</v>
      </c>
      <c r="E22" s="103"/>
      <c r="F22" s="81"/>
      <c r="G22" s="81"/>
      <c r="H22" s="81"/>
      <c r="I22" s="80"/>
    </row>
    <row r="23" spans="1:9" ht="15.05">
      <c r="A23" s="90"/>
      <c r="B23" s="86"/>
      <c r="C23" s="87" t="s">
        <v>982</v>
      </c>
      <c r="D23" s="101">
        <f>SUM(E27:E749)+SUMIF(D27:D749,"&lt;&gt;#N/A")</f>
        <v>495034.99999999988</v>
      </c>
      <c r="E23" s="103"/>
      <c r="F23" s="81"/>
      <c r="G23" s="81"/>
      <c r="H23" s="81"/>
      <c r="I23" s="80"/>
    </row>
    <row r="24" spans="1:9">
      <c r="A24" s="81"/>
      <c r="B24" s="81"/>
      <c r="C24" s="81"/>
      <c r="D24" s="81"/>
      <c r="E24" s="81"/>
      <c r="F24" s="81"/>
      <c r="G24" s="81"/>
      <c r="H24" s="81"/>
      <c r="I24" s="80"/>
    </row>
    <row r="25" spans="1:9" ht="15.05">
      <c r="A25" s="31" t="s">
        <v>983</v>
      </c>
      <c r="E25" s="106"/>
      <c r="H25" s="106"/>
      <c r="I25" s="80"/>
    </row>
    <row r="26" spans="1:9" ht="26.2">
      <c r="A26" s="107" t="s">
        <v>984</v>
      </c>
      <c r="B26" s="108" t="s">
        <v>985</v>
      </c>
      <c r="C26" s="108" t="s">
        <v>986</v>
      </c>
      <c r="D26" s="108" t="s">
        <v>987</v>
      </c>
      <c r="E26" s="108" t="s">
        <v>988</v>
      </c>
      <c r="F26" s="108" t="s">
        <v>216</v>
      </c>
      <c r="G26" s="109"/>
      <c r="H26" s="109"/>
      <c r="I26" s="80"/>
    </row>
    <row r="27" spans="1:9">
      <c r="A27" s="110">
        <v>0</v>
      </c>
      <c r="B27" s="111">
        <f>D7</f>
        <v>42583</v>
      </c>
      <c r="C27" s="112">
        <v>0</v>
      </c>
      <c r="D27" s="112">
        <f>IF(type=1,$D$18,0)</f>
        <v>37436.519999999997</v>
      </c>
      <c r="E27" s="112"/>
      <c r="F27" s="112">
        <f>D6-D27-E27</f>
        <v>457598.48</v>
      </c>
      <c r="G27" s="109"/>
      <c r="H27" s="109"/>
      <c r="I27" s="80"/>
    </row>
    <row r="28" spans="1:9">
      <c r="A28" s="113">
        <f>IF(OR(F27="",F27&lt;=0),NA(),A27+1)</f>
        <v>1</v>
      </c>
      <c r="B28" s="114">
        <f t="shared" ref="B28:B91" si="0">IF(ISERROR(A28),"",IF($D$9="Annually",EDATE(B27,12),EDATE(B27,1)))</f>
        <v>42948</v>
      </c>
      <c r="C28" s="115">
        <f t="shared" ref="C28:C91" si="1">IF(ISERROR(A28),"",ROUND(F27*rper,2))</f>
        <v>0</v>
      </c>
      <c r="D28" s="115">
        <f t="shared" ref="D28:D91" si="2">IF(ISERROR(A28),"",MIN(ROUND(F27+C28,2),ROUND(FV($G$12,IF(type=1,A28,A27),,-$D$18),2)))</f>
        <v>38185.25</v>
      </c>
      <c r="E28" s="115"/>
      <c r="F28" s="115">
        <f>IF(ISERROR(A28),"",ROUND(F27-D28-E28+C28,2))</f>
        <v>419413.23</v>
      </c>
      <c r="G28" s="109"/>
      <c r="H28" s="109"/>
      <c r="I28" s="80"/>
    </row>
    <row r="29" spans="1:9">
      <c r="A29" s="113">
        <f t="shared" ref="A29:A92" si="3">IF(OR(F28="",F28&lt;=0),NA(),A28+1)</f>
        <v>2</v>
      </c>
      <c r="B29" s="114">
        <f t="shared" si="0"/>
        <v>43313</v>
      </c>
      <c r="C29" s="115">
        <f t="shared" si="1"/>
        <v>0</v>
      </c>
      <c r="D29" s="115">
        <f t="shared" si="2"/>
        <v>38948.959999999999</v>
      </c>
      <c r="E29" s="115"/>
      <c r="F29" s="115">
        <f t="shared" ref="F29:F92" si="4">IF(ISERROR(A29),"",ROUND(F28-D29-E29+C29,2))</f>
        <v>380464.27</v>
      </c>
      <c r="G29" s="109"/>
      <c r="H29" s="109"/>
      <c r="I29" s="80"/>
    </row>
    <row r="30" spans="1:9">
      <c r="A30" s="113">
        <f t="shared" si="3"/>
        <v>3</v>
      </c>
      <c r="B30" s="114">
        <f t="shared" si="0"/>
        <v>43678</v>
      </c>
      <c r="C30" s="115">
        <f t="shared" si="1"/>
        <v>0</v>
      </c>
      <c r="D30" s="115">
        <f t="shared" si="2"/>
        <v>39727.93</v>
      </c>
      <c r="E30" s="115"/>
      <c r="F30" s="115">
        <f t="shared" si="4"/>
        <v>340736.34</v>
      </c>
      <c r="G30" s="109"/>
      <c r="H30" s="109"/>
      <c r="I30" s="80"/>
    </row>
    <row r="31" spans="1:9">
      <c r="A31" s="113">
        <f t="shared" si="3"/>
        <v>4</v>
      </c>
      <c r="B31" s="114">
        <f t="shared" si="0"/>
        <v>44044</v>
      </c>
      <c r="C31" s="115">
        <f t="shared" si="1"/>
        <v>0</v>
      </c>
      <c r="D31" s="115">
        <f t="shared" si="2"/>
        <v>40522.49</v>
      </c>
      <c r="E31" s="115"/>
      <c r="F31" s="115">
        <f t="shared" si="4"/>
        <v>300213.84999999998</v>
      </c>
      <c r="G31" s="109"/>
      <c r="H31" s="109"/>
      <c r="I31" s="80"/>
    </row>
    <row r="32" spans="1:9">
      <c r="A32" s="113">
        <f t="shared" si="3"/>
        <v>5</v>
      </c>
      <c r="B32" s="114">
        <f t="shared" si="0"/>
        <v>44409</v>
      </c>
      <c r="C32" s="115">
        <f t="shared" si="1"/>
        <v>0</v>
      </c>
      <c r="D32" s="115">
        <f t="shared" si="2"/>
        <v>41332.94</v>
      </c>
      <c r="E32" s="115"/>
      <c r="F32" s="115">
        <f t="shared" si="4"/>
        <v>258880.91</v>
      </c>
      <c r="G32" s="109"/>
      <c r="H32" s="109"/>
      <c r="I32" s="80"/>
    </row>
    <row r="33" spans="1:9">
      <c r="A33" s="113">
        <f t="shared" si="3"/>
        <v>6</v>
      </c>
      <c r="B33" s="114">
        <f t="shared" si="0"/>
        <v>44774</v>
      </c>
      <c r="C33" s="115">
        <f t="shared" si="1"/>
        <v>0</v>
      </c>
      <c r="D33" s="115">
        <f t="shared" si="2"/>
        <v>42159.6</v>
      </c>
      <c r="E33" s="115"/>
      <c r="F33" s="115">
        <f t="shared" si="4"/>
        <v>216721.31</v>
      </c>
      <c r="G33" s="109"/>
      <c r="H33" s="109"/>
      <c r="I33" s="80"/>
    </row>
    <row r="34" spans="1:9">
      <c r="A34" s="113">
        <f t="shared" si="3"/>
        <v>7</v>
      </c>
      <c r="B34" s="114">
        <f t="shared" si="0"/>
        <v>45139</v>
      </c>
      <c r="C34" s="115">
        <f t="shared" si="1"/>
        <v>0</v>
      </c>
      <c r="D34" s="115">
        <f t="shared" si="2"/>
        <v>43002.79</v>
      </c>
      <c r="E34" s="115"/>
      <c r="F34" s="115">
        <f t="shared" si="4"/>
        <v>173718.52</v>
      </c>
      <c r="G34" s="109"/>
      <c r="H34" s="109"/>
      <c r="I34" s="80"/>
    </row>
    <row r="35" spans="1:9">
      <c r="A35" s="113">
        <f t="shared" si="3"/>
        <v>8</v>
      </c>
      <c r="B35" s="114">
        <f t="shared" si="0"/>
        <v>45505</v>
      </c>
      <c r="C35" s="115">
        <f t="shared" si="1"/>
        <v>0</v>
      </c>
      <c r="D35" s="115">
        <f t="shared" si="2"/>
        <v>43862.85</v>
      </c>
      <c r="E35" s="115"/>
      <c r="F35" s="115">
        <f t="shared" si="4"/>
        <v>129855.67</v>
      </c>
      <c r="G35" s="109"/>
      <c r="H35" s="109"/>
      <c r="I35" s="80"/>
    </row>
    <row r="36" spans="1:9">
      <c r="A36" s="113">
        <f t="shared" si="3"/>
        <v>9</v>
      </c>
      <c r="B36" s="114">
        <f t="shared" si="0"/>
        <v>45870</v>
      </c>
      <c r="C36" s="115">
        <f t="shared" si="1"/>
        <v>0</v>
      </c>
      <c r="D36" s="115">
        <f t="shared" si="2"/>
        <v>44740.11</v>
      </c>
      <c r="E36" s="115"/>
      <c r="F36" s="115">
        <f t="shared" si="4"/>
        <v>85115.56</v>
      </c>
      <c r="G36" s="109"/>
      <c r="H36" s="109"/>
      <c r="I36" s="80"/>
    </row>
    <row r="37" spans="1:9">
      <c r="A37" s="113">
        <f t="shared" si="3"/>
        <v>10</v>
      </c>
      <c r="B37" s="114">
        <f t="shared" si="0"/>
        <v>46235</v>
      </c>
      <c r="C37" s="115">
        <f t="shared" si="1"/>
        <v>0</v>
      </c>
      <c r="D37" s="115">
        <f t="shared" si="2"/>
        <v>45634.91</v>
      </c>
      <c r="E37" s="115"/>
      <c r="F37" s="115">
        <f t="shared" si="4"/>
        <v>39480.65</v>
      </c>
      <c r="G37" s="109"/>
      <c r="H37" s="109"/>
      <c r="I37" s="80"/>
    </row>
    <row r="38" spans="1:9">
      <c r="A38" s="113">
        <f t="shared" si="3"/>
        <v>11</v>
      </c>
      <c r="B38" s="114">
        <f t="shared" si="0"/>
        <v>46600</v>
      </c>
      <c r="C38" s="115">
        <f t="shared" si="1"/>
        <v>0</v>
      </c>
      <c r="D38" s="115">
        <f t="shared" si="2"/>
        <v>39480.65</v>
      </c>
      <c r="E38" s="115"/>
      <c r="F38" s="115">
        <f t="shared" si="4"/>
        <v>0</v>
      </c>
      <c r="G38" s="109"/>
      <c r="H38" s="109"/>
      <c r="I38" s="80"/>
    </row>
    <row r="39" spans="1:9">
      <c r="A39" s="113" t="e">
        <f t="shared" si="3"/>
        <v>#N/A</v>
      </c>
      <c r="B39" s="114" t="str">
        <f t="shared" si="0"/>
        <v/>
      </c>
      <c r="C39" s="115" t="str">
        <f t="shared" si="1"/>
        <v/>
      </c>
      <c r="D39" s="115" t="str">
        <f t="shared" si="2"/>
        <v/>
      </c>
      <c r="E39" s="115"/>
      <c r="F39" s="115" t="str">
        <f t="shared" si="4"/>
        <v/>
      </c>
      <c r="G39" s="109"/>
      <c r="H39" s="109"/>
      <c r="I39" s="80"/>
    </row>
    <row r="40" spans="1:9">
      <c r="A40" s="113" t="e">
        <f t="shared" si="3"/>
        <v>#N/A</v>
      </c>
      <c r="B40" s="114" t="str">
        <f t="shared" si="0"/>
        <v/>
      </c>
      <c r="C40" s="115" t="str">
        <f t="shared" si="1"/>
        <v/>
      </c>
      <c r="D40" s="115" t="str">
        <f t="shared" si="2"/>
        <v/>
      </c>
      <c r="E40" s="115"/>
      <c r="F40" s="115" t="str">
        <f t="shared" si="4"/>
        <v/>
      </c>
      <c r="G40" s="109"/>
      <c r="H40" s="109"/>
      <c r="I40" s="80"/>
    </row>
    <row r="41" spans="1:9">
      <c r="A41" s="113" t="e">
        <f t="shared" si="3"/>
        <v>#N/A</v>
      </c>
      <c r="B41" s="114" t="str">
        <f t="shared" si="0"/>
        <v/>
      </c>
      <c r="C41" s="115" t="str">
        <f t="shared" si="1"/>
        <v/>
      </c>
      <c r="D41" s="115" t="str">
        <f t="shared" si="2"/>
        <v/>
      </c>
      <c r="E41" s="115"/>
      <c r="F41" s="115" t="str">
        <f t="shared" si="4"/>
        <v/>
      </c>
      <c r="G41" s="109"/>
      <c r="H41" s="109"/>
      <c r="I41" s="80"/>
    </row>
    <row r="42" spans="1:9">
      <c r="A42" s="113" t="e">
        <f t="shared" si="3"/>
        <v>#N/A</v>
      </c>
      <c r="B42" s="114" t="str">
        <f t="shared" si="0"/>
        <v/>
      </c>
      <c r="C42" s="115" t="str">
        <f t="shared" si="1"/>
        <v/>
      </c>
      <c r="D42" s="115" t="str">
        <f t="shared" si="2"/>
        <v/>
      </c>
      <c r="E42" s="115"/>
      <c r="F42" s="115" t="str">
        <f t="shared" si="4"/>
        <v/>
      </c>
      <c r="G42" s="109"/>
      <c r="H42" s="109"/>
      <c r="I42" s="80"/>
    </row>
    <row r="43" spans="1:9">
      <c r="A43" s="113" t="e">
        <f t="shared" si="3"/>
        <v>#N/A</v>
      </c>
      <c r="B43" s="114" t="str">
        <f t="shared" si="0"/>
        <v/>
      </c>
      <c r="C43" s="115" t="str">
        <f t="shared" si="1"/>
        <v/>
      </c>
      <c r="D43" s="115" t="str">
        <f t="shared" si="2"/>
        <v/>
      </c>
      <c r="E43" s="115"/>
      <c r="F43" s="115" t="str">
        <f t="shared" si="4"/>
        <v/>
      </c>
      <c r="G43" s="109"/>
      <c r="H43" s="109"/>
      <c r="I43" s="80"/>
    </row>
    <row r="44" spans="1:9">
      <c r="A44" s="113" t="e">
        <f t="shared" si="3"/>
        <v>#N/A</v>
      </c>
      <c r="B44" s="114" t="str">
        <f t="shared" si="0"/>
        <v/>
      </c>
      <c r="C44" s="115" t="str">
        <f t="shared" si="1"/>
        <v/>
      </c>
      <c r="D44" s="115" t="str">
        <f t="shared" si="2"/>
        <v/>
      </c>
      <c r="E44" s="115"/>
      <c r="F44" s="115" t="str">
        <f t="shared" si="4"/>
        <v/>
      </c>
      <c r="G44" s="109"/>
      <c r="H44" s="109"/>
      <c r="I44" s="80"/>
    </row>
    <row r="45" spans="1:9">
      <c r="A45" s="113" t="e">
        <f t="shared" si="3"/>
        <v>#N/A</v>
      </c>
      <c r="B45" s="114" t="str">
        <f t="shared" si="0"/>
        <v/>
      </c>
      <c r="C45" s="115" t="str">
        <f t="shared" si="1"/>
        <v/>
      </c>
      <c r="D45" s="115" t="str">
        <f t="shared" si="2"/>
        <v/>
      </c>
      <c r="E45" s="115"/>
      <c r="F45" s="115" t="str">
        <f t="shared" si="4"/>
        <v/>
      </c>
      <c r="G45" s="109"/>
      <c r="H45" s="109"/>
      <c r="I45" s="80"/>
    </row>
    <row r="46" spans="1:9">
      <c r="A46" s="113" t="e">
        <f t="shared" si="3"/>
        <v>#N/A</v>
      </c>
      <c r="B46" s="114" t="str">
        <f t="shared" si="0"/>
        <v/>
      </c>
      <c r="C46" s="115" t="str">
        <f t="shared" si="1"/>
        <v/>
      </c>
      <c r="D46" s="115" t="str">
        <f t="shared" si="2"/>
        <v/>
      </c>
      <c r="E46" s="115"/>
      <c r="F46" s="115" t="str">
        <f t="shared" si="4"/>
        <v/>
      </c>
      <c r="G46" s="109"/>
      <c r="H46" s="109"/>
      <c r="I46" s="80"/>
    </row>
    <row r="47" spans="1:9">
      <c r="A47" s="113" t="e">
        <f t="shared" si="3"/>
        <v>#N/A</v>
      </c>
      <c r="B47" s="114" t="str">
        <f t="shared" si="0"/>
        <v/>
      </c>
      <c r="C47" s="115" t="str">
        <f t="shared" si="1"/>
        <v/>
      </c>
      <c r="D47" s="115" t="str">
        <f t="shared" si="2"/>
        <v/>
      </c>
      <c r="E47" s="115"/>
      <c r="F47" s="115" t="str">
        <f t="shared" si="4"/>
        <v/>
      </c>
      <c r="G47" s="109"/>
      <c r="H47" s="109"/>
      <c r="I47" s="80"/>
    </row>
    <row r="48" spans="1:9">
      <c r="A48" s="113" t="e">
        <f t="shared" si="3"/>
        <v>#N/A</v>
      </c>
      <c r="B48" s="114" t="str">
        <f t="shared" si="0"/>
        <v/>
      </c>
      <c r="C48" s="115" t="str">
        <f t="shared" si="1"/>
        <v/>
      </c>
      <c r="D48" s="115" t="str">
        <f t="shared" si="2"/>
        <v/>
      </c>
      <c r="E48" s="115"/>
      <c r="F48" s="115" t="str">
        <f t="shared" si="4"/>
        <v/>
      </c>
      <c r="G48" s="109"/>
      <c r="H48" s="109"/>
      <c r="I48" s="80"/>
    </row>
    <row r="49" spans="1:9">
      <c r="A49" s="113" t="e">
        <f t="shared" si="3"/>
        <v>#N/A</v>
      </c>
      <c r="B49" s="114" t="str">
        <f t="shared" si="0"/>
        <v/>
      </c>
      <c r="C49" s="115" t="str">
        <f t="shared" si="1"/>
        <v/>
      </c>
      <c r="D49" s="115" t="str">
        <f t="shared" si="2"/>
        <v/>
      </c>
      <c r="E49" s="115"/>
      <c r="F49" s="115" t="str">
        <f t="shared" si="4"/>
        <v/>
      </c>
      <c r="G49" s="109"/>
      <c r="H49" s="109"/>
      <c r="I49" s="80"/>
    </row>
    <row r="50" spans="1:9">
      <c r="A50" s="113" t="e">
        <f t="shared" si="3"/>
        <v>#N/A</v>
      </c>
      <c r="B50" s="114" t="str">
        <f t="shared" si="0"/>
        <v/>
      </c>
      <c r="C50" s="115" t="str">
        <f t="shared" si="1"/>
        <v/>
      </c>
      <c r="D50" s="115" t="str">
        <f t="shared" si="2"/>
        <v/>
      </c>
      <c r="E50" s="115"/>
      <c r="F50" s="115" t="str">
        <f t="shared" si="4"/>
        <v/>
      </c>
      <c r="G50" s="109"/>
      <c r="H50" s="109"/>
      <c r="I50" s="80"/>
    </row>
    <row r="51" spans="1:9">
      <c r="A51" s="113" t="e">
        <f t="shared" si="3"/>
        <v>#N/A</v>
      </c>
      <c r="B51" s="114" t="str">
        <f t="shared" si="0"/>
        <v/>
      </c>
      <c r="C51" s="115" t="str">
        <f t="shared" si="1"/>
        <v/>
      </c>
      <c r="D51" s="115" t="str">
        <f t="shared" si="2"/>
        <v/>
      </c>
      <c r="E51" s="115"/>
      <c r="F51" s="115" t="str">
        <f t="shared" si="4"/>
        <v/>
      </c>
      <c r="G51" s="109"/>
      <c r="H51" s="109"/>
      <c r="I51" s="80"/>
    </row>
    <row r="52" spans="1:9">
      <c r="A52" s="113" t="e">
        <f t="shared" si="3"/>
        <v>#N/A</v>
      </c>
      <c r="B52" s="114" t="str">
        <f t="shared" si="0"/>
        <v/>
      </c>
      <c r="C52" s="115" t="str">
        <f t="shared" si="1"/>
        <v/>
      </c>
      <c r="D52" s="115" t="str">
        <f t="shared" si="2"/>
        <v/>
      </c>
      <c r="E52" s="115"/>
      <c r="F52" s="115" t="str">
        <f t="shared" si="4"/>
        <v/>
      </c>
      <c r="G52" s="109"/>
      <c r="H52" s="109"/>
      <c r="I52" s="80"/>
    </row>
    <row r="53" spans="1:9">
      <c r="A53" s="113" t="e">
        <f t="shared" si="3"/>
        <v>#N/A</v>
      </c>
      <c r="B53" s="114" t="str">
        <f t="shared" si="0"/>
        <v/>
      </c>
      <c r="C53" s="115" t="str">
        <f t="shared" si="1"/>
        <v/>
      </c>
      <c r="D53" s="115" t="str">
        <f t="shared" si="2"/>
        <v/>
      </c>
      <c r="E53" s="115"/>
      <c r="F53" s="115" t="str">
        <f t="shared" si="4"/>
        <v/>
      </c>
      <c r="G53" s="109"/>
      <c r="H53" s="109"/>
      <c r="I53" s="80"/>
    </row>
    <row r="54" spans="1:9">
      <c r="A54" s="113" t="e">
        <f t="shared" si="3"/>
        <v>#N/A</v>
      </c>
      <c r="B54" s="114" t="str">
        <f t="shared" si="0"/>
        <v/>
      </c>
      <c r="C54" s="115" t="str">
        <f t="shared" si="1"/>
        <v/>
      </c>
      <c r="D54" s="115" t="str">
        <f t="shared" si="2"/>
        <v/>
      </c>
      <c r="E54" s="115"/>
      <c r="F54" s="115" t="str">
        <f t="shared" si="4"/>
        <v/>
      </c>
      <c r="G54" s="109"/>
      <c r="H54" s="109"/>
      <c r="I54" s="80"/>
    </row>
    <row r="55" spans="1:9">
      <c r="A55" s="113" t="e">
        <f t="shared" si="3"/>
        <v>#N/A</v>
      </c>
      <c r="B55" s="114" t="str">
        <f t="shared" si="0"/>
        <v/>
      </c>
      <c r="C55" s="115" t="str">
        <f t="shared" si="1"/>
        <v/>
      </c>
      <c r="D55" s="115" t="str">
        <f t="shared" si="2"/>
        <v/>
      </c>
      <c r="E55" s="115"/>
      <c r="F55" s="115" t="str">
        <f t="shared" si="4"/>
        <v/>
      </c>
      <c r="G55" s="109"/>
      <c r="H55" s="109"/>
      <c r="I55" s="80"/>
    </row>
    <row r="56" spans="1:9">
      <c r="A56" s="113" t="e">
        <f t="shared" si="3"/>
        <v>#N/A</v>
      </c>
      <c r="B56" s="114" t="str">
        <f t="shared" si="0"/>
        <v/>
      </c>
      <c r="C56" s="115" t="str">
        <f t="shared" si="1"/>
        <v/>
      </c>
      <c r="D56" s="115" t="str">
        <f t="shared" si="2"/>
        <v/>
      </c>
      <c r="E56" s="115"/>
      <c r="F56" s="115" t="str">
        <f t="shared" si="4"/>
        <v/>
      </c>
      <c r="G56" s="109"/>
      <c r="H56" s="109"/>
      <c r="I56" s="80"/>
    </row>
    <row r="57" spans="1:9">
      <c r="A57" s="113" t="e">
        <f t="shared" si="3"/>
        <v>#N/A</v>
      </c>
      <c r="B57" s="114" t="str">
        <f t="shared" si="0"/>
        <v/>
      </c>
      <c r="C57" s="115" t="str">
        <f t="shared" si="1"/>
        <v/>
      </c>
      <c r="D57" s="115" t="str">
        <f t="shared" si="2"/>
        <v/>
      </c>
      <c r="E57" s="115"/>
      <c r="F57" s="115" t="str">
        <f t="shared" si="4"/>
        <v/>
      </c>
      <c r="G57" s="109"/>
      <c r="H57" s="109"/>
      <c r="I57" s="80"/>
    </row>
    <row r="58" spans="1:9">
      <c r="A58" s="113" t="e">
        <f t="shared" si="3"/>
        <v>#N/A</v>
      </c>
      <c r="B58" s="114" t="str">
        <f t="shared" si="0"/>
        <v/>
      </c>
      <c r="C58" s="115" t="str">
        <f t="shared" si="1"/>
        <v/>
      </c>
      <c r="D58" s="115" t="str">
        <f t="shared" si="2"/>
        <v/>
      </c>
      <c r="E58" s="115"/>
      <c r="F58" s="115" t="str">
        <f t="shared" si="4"/>
        <v/>
      </c>
      <c r="G58" s="109"/>
      <c r="H58" s="109"/>
      <c r="I58" s="80"/>
    </row>
    <row r="59" spans="1:9">
      <c r="A59" s="113" t="e">
        <f t="shared" si="3"/>
        <v>#N/A</v>
      </c>
      <c r="B59" s="114" t="str">
        <f t="shared" si="0"/>
        <v/>
      </c>
      <c r="C59" s="115" t="str">
        <f t="shared" si="1"/>
        <v/>
      </c>
      <c r="D59" s="115" t="str">
        <f t="shared" si="2"/>
        <v/>
      </c>
      <c r="E59" s="115"/>
      <c r="F59" s="115" t="str">
        <f t="shared" si="4"/>
        <v/>
      </c>
      <c r="G59" s="109"/>
      <c r="H59" s="109"/>
      <c r="I59" s="80"/>
    </row>
    <row r="60" spans="1:9">
      <c r="A60" s="113" t="e">
        <f t="shared" si="3"/>
        <v>#N/A</v>
      </c>
      <c r="B60" s="114" t="str">
        <f t="shared" si="0"/>
        <v/>
      </c>
      <c r="C60" s="115" t="str">
        <f t="shared" si="1"/>
        <v/>
      </c>
      <c r="D60" s="115" t="str">
        <f t="shared" si="2"/>
        <v/>
      </c>
      <c r="E60" s="115"/>
      <c r="F60" s="115" t="str">
        <f t="shared" si="4"/>
        <v/>
      </c>
      <c r="G60" s="109"/>
      <c r="H60" s="109"/>
      <c r="I60" s="80"/>
    </row>
    <row r="61" spans="1:9">
      <c r="A61" s="113" t="e">
        <f t="shared" si="3"/>
        <v>#N/A</v>
      </c>
      <c r="B61" s="114" t="str">
        <f t="shared" si="0"/>
        <v/>
      </c>
      <c r="C61" s="115" t="str">
        <f t="shared" si="1"/>
        <v/>
      </c>
      <c r="D61" s="115" t="str">
        <f t="shared" si="2"/>
        <v/>
      </c>
      <c r="E61" s="115"/>
      <c r="F61" s="115" t="str">
        <f t="shared" si="4"/>
        <v/>
      </c>
      <c r="G61" s="109"/>
      <c r="H61" s="109"/>
      <c r="I61" s="80"/>
    </row>
    <row r="62" spans="1:9">
      <c r="A62" s="113" t="e">
        <f t="shared" si="3"/>
        <v>#N/A</v>
      </c>
      <c r="B62" s="114" t="str">
        <f t="shared" si="0"/>
        <v/>
      </c>
      <c r="C62" s="115" t="str">
        <f t="shared" si="1"/>
        <v/>
      </c>
      <c r="D62" s="115" t="str">
        <f t="shared" si="2"/>
        <v/>
      </c>
      <c r="E62" s="115"/>
      <c r="F62" s="115" t="str">
        <f t="shared" si="4"/>
        <v/>
      </c>
      <c r="G62" s="109"/>
      <c r="H62" s="109"/>
      <c r="I62" s="80"/>
    </row>
    <row r="63" spans="1:9">
      <c r="A63" s="113" t="e">
        <f t="shared" si="3"/>
        <v>#N/A</v>
      </c>
      <c r="B63" s="114" t="str">
        <f t="shared" si="0"/>
        <v/>
      </c>
      <c r="C63" s="115" t="str">
        <f t="shared" si="1"/>
        <v/>
      </c>
      <c r="D63" s="115" t="str">
        <f t="shared" si="2"/>
        <v/>
      </c>
      <c r="E63" s="115"/>
      <c r="F63" s="115" t="str">
        <f t="shared" si="4"/>
        <v/>
      </c>
      <c r="G63" s="109"/>
      <c r="H63" s="109"/>
      <c r="I63" s="80"/>
    </row>
    <row r="64" spans="1:9">
      <c r="A64" s="113" t="e">
        <f t="shared" si="3"/>
        <v>#N/A</v>
      </c>
      <c r="B64" s="114" t="str">
        <f t="shared" si="0"/>
        <v/>
      </c>
      <c r="C64" s="115" t="str">
        <f t="shared" si="1"/>
        <v/>
      </c>
      <c r="D64" s="115" t="str">
        <f t="shared" si="2"/>
        <v/>
      </c>
      <c r="E64" s="115"/>
      <c r="F64" s="115" t="str">
        <f t="shared" si="4"/>
        <v/>
      </c>
      <c r="H64"/>
    </row>
    <row r="65" spans="1:8">
      <c r="A65" s="113" t="e">
        <f t="shared" si="3"/>
        <v>#N/A</v>
      </c>
      <c r="B65" s="114" t="str">
        <f t="shared" si="0"/>
        <v/>
      </c>
      <c r="C65" s="115" t="str">
        <f t="shared" si="1"/>
        <v/>
      </c>
      <c r="D65" s="115" t="str">
        <f t="shared" si="2"/>
        <v/>
      </c>
      <c r="E65" s="115"/>
      <c r="F65" s="115" t="str">
        <f t="shared" si="4"/>
        <v/>
      </c>
      <c r="H65"/>
    </row>
    <row r="66" spans="1:8">
      <c r="A66" s="113" t="e">
        <f t="shared" si="3"/>
        <v>#N/A</v>
      </c>
      <c r="B66" s="114" t="str">
        <f t="shared" si="0"/>
        <v/>
      </c>
      <c r="C66" s="115" t="str">
        <f t="shared" si="1"/>
        <v/>
      </c>
      <c r="D66" s="115" t="str">
        <f t="shared" si="2"/>
        <v/>
      </c>
      <c r="E66" s="115"/>
      <c r="F66" s="115" t="str">
        <f t="shared" si="4"/>
        <v/>
      </c>
      <c r="H66"/>
    </row>
    <row r="67" spans="1:8">
      <c r="A67" s="113" t="e">
        <f t="shared" si="3"/>
        <v>#N/A</v>
      </c>
      <c r="B67" s="114" t="str">
        <f t="shared" si="0"/>
        <v/>
      </c>
      <c r="C67" s="115" t="str">
        <f t="shared" si="1"/>
        <v/>
      </c>
      <c r="D67" s="115" t="str">
        <f t="shared" si="2"/>
        <v/>
      </c>
      <c r="E67" s="115"/>
      <c r="F67" s="115" t="str">
        <f t="shared" si="4"/>
        <v/>
      </c>
      <c r="H67"/>
    </row>
    <row r="68" spans="1:8">
      <c r="A68" s="113" t="e">
        <f t="shared" si="3"/>
        <v>#N/A</v>
      </c>
      <c r="B68" s="114" t="str">
        <f t="shared" si="0"/>
        <v/>
      </c>
      <c r="C68" s="115" t="str">
        <f t="shared" si="1"/>
        <v/>
      </c>
      <c r="D68" s="115" t="str">
        <f t="shared" si="2"/>
        <v/>
      </c>
      <c r="E68" s="115"/>
      <c r="F68" s="115" t="str">
        <f t="shared" si="4"/>
        <v/>
      </c>
      <c r="H68"/>
    </row>
    <row r="69" spans="1:8">
      <c r="A69" s="113" t="e">
        <f t="shared" si="3"/>
        <v>#N/A</v>
      </c>
      <c r="B69" s="114" t="str">
        <f t="shared" si="0"/>
        <v/>
      </c>
      <c r="C69" s="115" t="str">
        <f t="shared" si="1"/>
        <v/>
      </c>
      <c r="D69" s="115" t="str">
        <f t="shared" si="2"/>
        <v/>
      </c>
      <c r="E69" s="115"/>
      <c r="F69" s="115" t="str">
        <f t="shared" si="4"/>
        <v/>
      </c>
      <c r="H69"/>
    </row>
    <row r="70" spans="1:8">
      <c r="A70" s="113" t="e">
        <f t="shared" si="3"/>
        <v>#N/A</v>
      </c>
      <c r="B70" s="114" t="str">
        <f t="shared" si="0"/>
        <v/>
      </c>
      <c r="C70" s="115" t="str">
        <f t="shared" si="1"/>
        <v/>
      </c>
      <c r="D70" s="115" t="str">
        <f t="shared" si="2"/>
        <v/>
      </c>
      <c r="E70" s="115"/>
      <c r="F70" s="115" t="str">
        <f t="shared" si="4"/>
        <v/>
      </c>
      <c r="H70"/>
    </row>
    <row r="71" spans="1:8">
      <c r="A71" s="113" t="e">
        <f t="shared" si="3"/>
        <v>#N/A</v>
      </c>
      <c r="B71" s="114" t="str">
        <f t="shared" si="0"/>
        <v/>
      </c>
      <c r="C71" s="115" t="str">
        <f t="shared" si="1"/>
        <v/>
      </c>
      <c r="D71" s="115" t="str">
        <f t="shared" si="2"/>
        <v/>
      </c>
      <c r="E71" s="115"/>
      <c r="F71" s="115" t="str">
        <f t="shared" si="4"/>
        <v/>
      </c>
      <c r="H71"/>
    </row>
    <row r="72" spans="1:8">
      <c r="A72" s="113" t="e">
        <f t="shared" si="3"/>
        <v>#N/A</v>
      </c>
      <c r="B72" s="114" t="str">
        <f t="shared" si="0"/>
        <v/>
      </c>
      <c r="C72" s="115" t="str">
        <f t="shared" si="1"/>
        <v/>
      </c>
      <c r="D72" s="115" t="str">
        <f t="shared" si="2"/>
        <v/>
      </c>
      <c r="E72" s="115"/>
      <c r="F72" s="115" t="str">
        <f t="shared" si="4"/>
        <v/>
      </c>
      <c r="H72"/>
    </row>
    <row r="73" spans="1:8">
      <c r="A73" s="113" t="e">
        <f t="shared" si="3"/>
        <v>#N/A</v>
      </c>
      <c r="B73" s="114" t="str">
        <f t="shared" si="0"/>
        <v/>
      </c>
      <c r="C73" s="115" t="str">
        <f t="shared" si="1"/>
        <v/>
      </c>
      <c r="D73" s="115" t="str">
        <f t="shared" si="2"/>
        <v/>
      </c>
      <c r="E73" s="115"/>
      <c r="F73" s="115" t="str">
        <f t="shared" si="4"/>
        <v/>
      </c>
      <c r="H73"/>
    </row>
    <row r="74" spans="1:8">
      <c r="A74" s="113" t="e">
        <f t="shared" si="3"/>
        <v>#N/A</v>
      </c>
      <c r="B74" s="114" t="str">
        <f t="shared" si="0"/>
        <v/>
      </c>
      <c r="C74" s="115" t="str">
        <f t="shared" si="1"/>
        <v/>
      </c>
      <c r="D74" s="115" t="str">
        <f t="shared" si="2"/>
        <v/>
      </c>
      <c r="E74" s="115"/>
      <c r="F74" s="115" t="str">
        <f t="shared" si="4"/>
        <v/>
      </c>
      <c r="H74"/>
    </row>
    <row r="75" spans="1:8">
      <c r="A75" s="113" t="e">
        <f t="shared" si="3"/>
        <v>#N/A</v>
      </c>
      <c r="B75" s="114" t="str">
        <f t="shared" si="0"/>
        <v/>
      </c>
      <c r="C75" s="115" t="str">
        <f t="shared" si="1"/>
        <v/>
      </c>
      <c r="D75" s="115" t="str">
        <f t="shared" si="2"/>
        <v/>
      </c>
      <c r="E75" s="115"/>
      <c r="F75" s="115" t="str">
        <f t="shared" si="4"/>
        <v/>
      </c>
      <c r="H75"/>
    </row>
    <row r="76" spans="1:8">
      <c r="A76" s="113" t="e">
        <f t="shared" si="3"/>
        <v>#N/A</v>
      </c>
      <c r="B76" s="114" t="str">
        <f t="shared" si="0"/>
        <v/>
      </c>
      <c r="C76" s="115" t="str">
        <f t="shared" si="1"/>
        <v/>
      </c>
      <c r="D76" s="115" t="str">
        <f t="shared" si="2"/>
        <v/>
      </c>
      <c r="E76" s="115"/>
      <c r="F76" s="115" t="str">
        <f t="shared" si="4"/>
        <v/>
      </c>
      <c r="H76"/>
    </row>
    <row r="77" spans="1:8">
      <c r="A77" s="113" t="e">
        <f t="shared" si="3"/>
        <v>#N/A</v>
      </c>
      <c r="B77" s="114" t="str">
        <f t="shared" si="0"/>
        <v/>
      </c>
      <c r="C77" s="115" t="str">
        <f t="shared" si="1"/>
        <v/>
      </c>
      <c r="D77" s="115" t="str">
        <f t="shared" si="2"/>
        <v/>
      </c>
      <c r="E77" s="115"/>
      <c r="F77" s="115" t="str">
        <f t="shared" si="4"/>
        <v/>
      </c>
      <c r="H77"/>
    </row>
    <row r="78" spans="1:8">
      <c r="A78" s="113" t="e">
        <f t="shared" si="3"/>
        <v>#N/A</v>
      </c>
      <c r="B78" s="114" t="str">
        <f t="shared" si="0"/>
        <v/>
      </c>
      <c r="C78" s="115" t="str">
        <f t="shared" si="1"/>
        <v/>
      </c>
      <c r="D78" s="115" t="str">
        <f t="shared" si="2"/>
        <v/>
      </c>
      <c r="E78" s="115"/>
      <c r="F78" s="115" t="str">
        <f t="shared" si="4"/>
        <v/>
      </c>
      <c r="H78"/>
    </row>
    <row r="79" spans="1:8">
      <c r="A79" s="113" t="e">
        <f t="shared" si="3"/>
        <v>#N/A</v>
      </c>
      <c r="B79" s="114" t="str">
        <f t="shared" si="0"/>
        <v/>
      </c>
      <c r="C79" s="115" t="str">
        <f t="shared" si="1"/>
        <v/>
      </c>
      <c r="D79" s="115" t="str">
        <f t="shared" si="2"/>
        <v/>
      </c>
      <c r="E79" s="115"/>
      <c r="F79" s="115" t="str">
        <f t="shared" si="4"/>
        <v/>
      </c>
      <c r="H79"/>
    </row>
    <row r="80" spans="1:8">
      <c r="A80" s="113" t="e">
        <f t="shared" si="3"/>
        <v>#N/A</v>
      </c>
      <c r="B80" s="114" t="str">
        <f t="shared" si="0"/>
        <v/>
      </c>
      <c r="C80" s="115" t="str">
        <f t="shared" si="1"/>
        <v/>
      </c>
      <c r="D80" s="115" t="str">
        <f t="shared" si="2"/>
        <v/>
      </c>
      <c r="E80" s="115"/>
      <c r="F80" s="115" t="str">
        <f t="shared" si="4"/>
        <v/>
      </c>
      <c r="H80"/>
    </row>
    <row r="81" spans="1:8">
      <c r="A81" s="113" t="e">
        <f t="shared" si="3"/>
        <v>#N/A</v>
      </c>
      <c r="B81" s="114" t="str">
        <f t="shared" si="0"/>
        <v/>
      </c>
      <c r="C81" s="115" t="str">
        <f t="shared" si="1"/>
        <v/>
      </c>
      <c r="D81" s="115" t="str">
        <f t="shared" si="2"/>
        <v/>
      </c>
      <c r="E81" s="115"/>
      <c r="F81" s="115" t="str">
        <f t="shared" si="4"/>
        <v/>
      </c>
      <c r="H81"/>
    </row>
    <row r="82" spans="1:8">
      <c r="A82" s="113" t="e">
        <f t="shared" si="3"/>
        <v>#N/A</v>
      </c>
      <c r="B82" s="114" t="str">
        <f t="shared" si="0"/>
        <v/>
      </c>
      <c r="C82" s="115" t="str">
        <f t="shared" si="1"/>
        <v/>
      </c>
      <c r="D82" s="115" t="str">
        <f t="shared" si="2"/>
        <v/>
      </c>
      <c r="E82" s="115"/>
      <c r="F82" s="115" t="str">
        <f t="shared" si="4"/>
        <v/>
      </c>
      <c r="H82"/>
    </row>
    <row r="83" spans="1:8">
      <c r="A83" s="113" t="e">
        <f t="shared" si="3"/>
        <v>#N/A</v>
      </c>
      <c r="B83" s="114" t="str">
        <f t="shared" si="0"/>
        <v/>
      </c>
      <c r="C83" s="115" t="str">
        <f t="shared" si="1"/>
        <v/>
      </c>
      <c r="D83" s="115" t="str">
        <f t="shared" si="2"/>
        <v/>
      </c>
      <c r="E83" s="115"/>
      <c r="F83" s="115" t="str">
        <f t="shared" si="4"/>
        <v/>
      </c>
      <c r="H83"/>
    </row>
    <row r="84" spans="1:8">
      <c r="A84" s="113" t="e">
        <f t="shared" si="3"/>
        <v>#N/A</v>
      </c>
      <c r="B84" s="114" t="str">
        <f t="shared" si="0"/>
        <v/>
      </c>
      <c r="C84" s="115" t="str">
        <f t="shared" si="1"/>
        <v/>
      </c>
      <c r="D84" s="115" t="str">
        <f t="shared" si="2"/>
        <v/>
      </c>
      <c r="E84" s="115"/>
      <c r="F84" s="115" t="str">
        <f t="shared" si="4"/>
        <v/>
      </c>
      <c r="H84"/>
    </row>
    <row r="85" spans="1:8">
      <c r="A85" s="113" t="e">
        <f t="shared" si="3"/>
        <v>#N/A</v>
      </c>
      <c r="B85" s="114" t="str">
        <f t="shared" si="0"/>
        <v/>
      </c>
      <c r="C85" s="115" t="str">
        <f t="shared" si="1"/>
        <v/>
      </c>
      <c r="D85" s="115" t="str">
        <f t="shared" si="2"/>
        <v/>
      </c>
      <c r="E85" s="115"/>
      <c r="F85" s="115" t="str">
        <f t="shared" si="4"/>
        <v/>
      </c>
      <c r="H85"/>
    </row>
    <row r="86" spans="1:8">
      <c r="A86" s="113" t="e">
        <f t="shared" si="3"/>
        <v>#N/A</v>
      </c>
      <c r="B86" s="114" t="str">
        <f t="shared" si="0"/>
        <v/>
      </c>
      <c r="C86" s="115" t="str">
        <f t="shared" si="1"/>
        <v/>
      </c>
      <c r="D86" s="115" t="str">
        <f t="shared" si="2"/>
        <v/>
      </c>
      <c r="E86" s="115"/>
      <c r="F86" s="115" t="str">
        <f t="shared" si="4"/>
        <v/>
      </c>
      <c r="H86"/>
    </row>
    <row r="87" spans="1:8">
      <c r="A87" s="113" t="e">
        <f t="shared" si="3"/>
        <v>#N/A</v>
      </c>
      <c r="B87" s="114" t="str">
        <f t="shared" si="0"/>
        <v/>
      </c>
      <c r="C87" s="115" t="str">
        <f t="shared" si="1"/>
        <v/>
      </c>
      <c r="D87" s="115" t="str">
        <f t="shared" si="2"/>
        <v/>
      </c>
      <c r="E87" s="115"/>
      <c r="F87" s="115" t="str">
        <f t="shared" si="4"/>
        <v/>
      </c>
      <c r="H87"/>
    </row>
    <row r="88" spans="1:8">
      <c r="A88" s="113" t="e">
        <f t="shared" si="3"/>
        <v>#N/A</v>
      </c>
      <c r="B88" s="114" t="str">
        <f t="shared" si="0"/>
        <v/>
      </c>
      <c r="C88" s="115" t="str">
        <f t="shared" si="1"/>
        <v/>
      </c>
      <c r="D88" s="115" t="str">
        <f t="shared" si="2"/>
        <v/>
      </c>
      <c r="E88" s="115"/>
      <c r="F88" s="115" t="str">
        <f t="shared" si="4"/>
        <v/>
      </c>
      <c r="H88"/>
    </row>
    <row r="89" spans="1:8">
      <c r="A89" s="113" t="e">
        <f t="shared" si="3"/>
        <v>#N/A</v>
      </c>
      <c r="B89" s="114" t="str">
        <f t="shared" si="0"/>
        <v/>
      </c>
      <c r="C89" s="115" t="str">
        <f t="shared" si="1"/>
        <v/>
      </c>
      <c r="D89" s="115" t="str">
        <f t="shared" si="2"/>
        <v/>
      </c>
      <c r="E89" s="115"/>
      <c r="F89" s="115" t="str">
        <f t="shared" si="4"/>
        <v/>
      </c>
      <c r="H89"/>
    </row>
    <row r="90" spans="1:8">
      <c r="A90" s="113" t="e">
        <f t="shared" si="3"/>
        <v>#N/A</v>
      </c>
      <c r="B90" s="114" t="str">
        <f t="shared" si="0"/>
        <v/>
      </c>
      <c r="C90" s="115" t="str">
        <f t="shared" si="1"/>
        <v/>
      </c>
      <c r="D90" s="115" t="str">
        <f t="shared" si="2"/>
        <v/>
      </c>
      <c r="E90" s="115"/>
      <c r="F90" s="115" t="str">
        <f t="shared" si="4"/>
        <v/>
      </c>
      <c r="H90"/>
    </row>
    <row r="91" spans="1:8">
      <c r="A91" s="113" t="e">
        <f t="shared" si="3"/>
        <v>#N/A</v>
      </c>
      <c r="B91" s="114" t="str">
        <f t="shared" si="0"/>
        <v/>
      </c>
      <c r="C91" s="115" t="str">
        <f t="shared" si="1"/>
        <v/>
      </c>
      <c r="D91" s="115" t="str">
        <f t="shared" si="2"/>
        <v/>
      </c>
      <c r="E91" s="115"/>
      <c r="F91" s="115" t="str">
        <f t="shared" si="4"/>
        <v/>
      </c>
      <c r="H91"/>
    </row>
    <row r="92" spans="1:8">
      <c r="A92" s="113" t="e">
        <f t="shared" si="3"/>
        <v>#N/A</v>
      </c>
      <c r="B92" s="114" t="str">
        <f t="shared" ref="B92:B155" si="5">IF(ISERROR(A92),"",IF($D$9="Annually",EDATE(B91,12),EDATE(B91,1)))</f>
        <v/>
      </c>
      <c r="C92" s="115" t="str">
        <f t="shared" ref="C92:C155" si="6">IF(ISERROR(A92),"",ROUND(F91*rper,2))</f>
        <v/>
      </c>
      <c r="D92" s="115" t="str">
        <f t="shared" ref="D92:D155" si="7">IF(ISERROR(A92),"",MIN(ROUND(F91+C92,2),ROUND(FV($G$12,IF(type=1,A92,A91),,-$D$18),2)))</f>
        <v/>
      </c>
      <c r="E92" s="115"/>
      <c r="F92" s="115" t="str">
        <f t="shared" si="4"/>
        <v/>
      </c>
      <c r="H92"/>
    </row>
    <row r="93" spans="1:8">
      <c r="A93" s="113" t="e">
        <f t="shared" ref="A93:A156" si="8">IF(OR(F92="",F92&lt;=0),NA(),A92+1)</f>
        <v>#N/A</v>
      </c>
      <c r="B93" s="114" t="str">
        <f t="shared" si="5"/>
        <v/>
      </c>
      <c r="C93" s="115" t="str">
        <f t="shared" si="6"/>
        <v/>
      </c>
      <c r="D93" s="115" t="str">
        <f t="shared" si="7"/>
        <v/>
      </c>
      <c r="E93" s="115"/>
      <c r="F93" s="115" t="str">
        <f t="shared" ref="F93:F156" si="9">IF(ISERROR(A93),"",ROUND(F92-D93-E93+C93,2))</f>
        <v/>
      </c>
      <c r="H93"/>
    </row>
    <row r="94" spans="1:8">
      <c r="A94" s="113" t="e">
        <f t="shared" si="8"/>
        <v>#N/A</v>
      </c>
      <c r="B94" s="114" t="str">
        <f t="shared" si="5"/>
        <v/>
      </c>
      <c r="C94" s="115" t="str">
        <f t="shared" si="6"/>
        <v/>
      </c>
      <c r="D94" s="115" t="str">
        <f t="shared" si="7"/>
        <v/>
      </c>
      <c r="E94" s="115"/>
      <c r="F94" s="115" t="str">
        <f t="shared" si="9"/>
        <v/>
      </c>
      <c r="H94"/>
    </row>
    <row r="95" spans="1:8">
      <c r="A95" s="113" t="e">
        <f t="shared" si="8"/>
        <v>#N/A</v>
      </c>
      <c r="B95" s="114" t="str">
        <f t="shared" si="5"/>
        <v/>
      </c>
      <c r="C95" s="115" t="str">
        <f t="shared" si="6"/>
        <v/>
      </c>
      <c r="D95" s="115" t="str">
        <f t="shared" si="7"/>
        <v/>
      </c>
      <c r="E95" s="115"/>
      <c r="F95" s="115" t="str">
        <f t="shared" si="9"/>
        <v/>
      </c>
      <c r="H95"/>
    </row>
    <row r="96" spans="1:8">
      <c r="A96" s="113" t="e">
        <f t="shared" si="8"/>
        <v>#N/A</v>
      </c>
      <c r="B96" s="114" t="str">
        <f t="shared" si="5"/>
        <v/>
      </c>
      <c r="C96" s="115" t="str">
        <f t="shared" si="6"/>
        <v/>
      </c>
      <c r="D96" s="115" t="str">
        <f t="shared" si="7"/>
        <v/>
      </c>
      <c r="E96" s="115"/>
      <c r="F96" s="115" t="str">
        <f t="shared" si="9"/>
        <v/>
      </c>
      <c r="H96"/>
    </row>
    <row r="97" spans="1:8">
      <c r="A97" s="113" t="e">
        <f t="shared" si="8"/>
        <v>#N/A</v>
      </c>
      <c r="B97" s="114" t="str">
        <f t="shared" si="5"/>
        <v/>
      </c>
      <c r="C97" s="115" t="str">
        <f t="shared" si="6"/>
        <v/>
      </c>
      <c r="D97" s="115" t="str">
        <f t="shared" si="7"/>
        <v/>
      </c>
      <c r="E97" s="115"/>
      <c r="F97" s="115" t="str">
        <f t="shared" si="9"/>
        <v/>
      </c>
      <c r="H97"/>
    </row>
    <row r="98" spans="1:8">
      <c r="A98" s="113" t="e">
        <f t="shared" si="8"/>
        <v>#N/A</v>
      </c>
      <c r="B98" s="114" t="str">
        <f t="shared" si="5"/>
        <v/>
      </c>
      <c r="C98" s="115" t="str">
        <f t="shared" si="6"/>
        <v/>
      </c>
      <c r="D98" s="115" t="str">
        <f t="shared" si="7"/>
        <v/>
      </c>
      <c r="E98" s="115"/>
      <c r="F98" s="115" t="str">
        <f t="shared" si="9"/>
        <v/>
      </c>
      <c r="H98"/>
    </row>
    <row r="99" spans="1:8">
      <c r="A99" s="113" t="e">
        <f t="shared" si="8"/>
        <v>#N/A</v>
      </c>
      <c r="B99" s="114" t="str">
        <f t="shared" si="5"/>
        <v/>
      </c>
      <c r="C99" s="115" t="str">
        <f t="shared" si="6"/>
        <v/>
      </c>
      <c r="D99" s="115" t="str">
        <f t="shared" si="7"/>
        <v/>
      </c>
      <c r="E99" s="115"/>
      <c r="F99" s="115" t="str">
        <f t="shared" si="9"/>
        <v/>
      </c>
      <c r="H99"/>
    </row>
    <row r="100" spans="1:8">
      <c r="A100" s="113" t="e">
        <f t="shared" si="8"/>
        <v>#N/A</v>
      </c>
      <c r="B100" s="114" t="str">
        <f t="shared" si="5"/>
        <v/>
      </c>
      <c r="C100" s="115" t="str">
        <f t="shared" si="6"/>
        <v/>
      </c>
      <c r="D100" s="115" t="str">
        <f t="shared" si="7"/>
        <v/>
      </c>
      <c r="E100" s="115"/>
      <c r="F100" s="115" t="str">
        <f t="shared" si="9"/>
        <v/>
      </c>
      <c r="H100"/>
    </row>
    <row r="101" spans="1:8">
      <c r="A101" s="113" t="e">
        <f t="shared" si="8"/>
        <v>#N/A</v>
      </c>
      <c r="B101" s="114" t="str">
        <f t="shared" si="5"/>
        <v/>
      </c>
      <c r="C101" s="115" t="str">
        <f t="shared" si="6"/>
        <v/>
      </c>
      <c r="D101" s="115" t="str">
        <f t="shared" si="7"/>
        <v/>
      </c>
      <c r="E101" s="115"/>
      <c r="F101" s="115" t="str">
        <f t="shared" si="9"/>
        <v/>
      </c>
      <c r="H101"/>
    </row>
    <row r="102" spans="1:8">
      <c r="A102" s="113" t="e">
        <f t="shared" si="8"/>
        <v>#N/A</v>
      </c>
      <c r="B102" s="114" t="str">
        <f t="shared" si="5"/>
        <v/>
      </c>
      <c r="C102" s="115" t="str">
        <f t="shared" si="6"/>
        <v/>
      </c>
      <c r="D102" s="115" t="str">
        <f t="shared" si="7"/>
        <v/>
      </c>
      <c r="E102" s="115"/>
      <c r="F102" s="115" t="str">
        <f t="shared" si="9"/>
        <v/>
      </c>
      <c r="H102"/>
    </row>
    <row r="103" spans="1:8">
      <c r="A103" s="113" t="e">
        <f t="shared" si="8"/>
        <v>#N/A</v>
      </c>
      <c r="B103" s="114" t="str">
        <f t="shared" si="5"/>
        <v/>
      </c>
      <c r="C103" s="115" t="str">
        <f t="shared" si="6"/>
        <v/>
      </c>
      <c r="D103" s="115" t="str">
        <f t="shared" si="7"/>
        <v/>
      </c>
      <c r="E103" s="115"/>
      <c r="F103" s="115" t="str">
        <f t="shared" si="9"/>
        <v/>
      </c>
      <c r="H103"/>
    </row>
    <row r="104" spans="1:8">
      <c r="A104" s="113" t="e">
        <f t="shared" si="8"/>
        <v>#N/A</v>
      </c>
      <c r="B104" s="114" t="str">
        <f t="shared" si="5"/>
        <v/>
      </c>
      <c r="C104" s="115" t="str">
        <f t="shared" si="6"/>
        <v/>
      </c>
      <c r="D104" s="115" t="str">
        <f t="shared" si="7"/>
        <v/>
      </c>
      <c r="E104" s="115"/>
      <c r="F104" s="115" t="str">
        <f t="shared" si="9"/>
        <v/>
      </c>
      <c r="H104"/>
    </row>
    <row r="105" spans="1:8">
      <c r="A105" s="113" t="e">
        <f t="shared" si="8"/>
        <v>#N/A</v>
      </c>
      <c r="B105" s="114" t="str">
        <f t="shared" si="5"/>
        <v/>
      </c>
      <c r="C105" s="115" t="str">
        <f t="shared" si="6"/>
        <v/>
      </c>
      <c r="D105" s="115" t="str">
        <f t="shared" si="7"/>
        <v/>
      </c>
      <c r="E105" s="115"/>
      <c r="F105" s="115" t="str">
        <f t="shared" si="9"/>
        <v/>
      </c>
      <c r="H105"/>
    </row>
    <row r="106" spans="1:8">
      <c r="A106" s="113" t="e">
        <f t="shared" si="8"/>
        <v>#N/A</v>
      </c>
      <c r="B106" s="114" t="str">
        <f t="shared" si="5"/>
        <v/>
      </c>
      <c r="C106" s="115" t="str">
        <f t="shared" si="6"/>
        <v/>
      </c>
      <c r="D106" s="115" t="str">
        <f t="shared" si="7"/>
        <v/>
      </c>
      <c r="E106" s="115"/>
      <c r="F106" s="115" t="str">
        <f t="shared" si="9"/>
        <v/>
      </c>
      <c r="H106"/>
    </row>
    <row r="107" spans="1:8">
      <c r="A107" s="113" t="e">
        <f t="shared" si="8"/>
        <v>#N/A</v>
      </c>
      <c r="B107" s="114" t="str">
        <f t="shared" si="5"/>
        <v/>
      </c>
      <c r="C107" s="115" t="str">
        <f t="shared" si="6"/>
        <v/>
      </c>
      <c r="D107" s="115" t="str">
        <f t="shared" si="7"/>
        <v/>
      </c>
      <c r="E107" s="115"/>
      <c r="F107" s="115" t="str">
        <f t="shared" si="9"/>
        <v/>
      </c>
      <c r="H107"/>
    </row>
    <row r="108" spans="1:8">
      <c r="A108" s="113" t="e">
        <f t="shared" si="8"/>
        <v>#N/A</v>
      </c>
      <c r="B108" s="114" t="str">
        <f t="shared" si="5"/>
        <v/>
      </c>
      <c r="C108" s="115" t="str">
        <f t="shared" si="6"/>
        <v/>
      </c>
      <c r="D108" s="115" t="str">
        <f t="shared" si="7"/>
        <v/>
      </c>
      <c r="E108" s="115"/>
      <c r="F108" s="115" t="str">
        <f t="shared" si="9"/>
        <v/>
      </c>
      <c r="H108"/>
    </row>
    <row r="109" spans="1:8">
      <c r="A109" s="113" t="e">
        <f t="shared" si="8"/>
        <v>#N/A</v>
      </c>
      <c r="B109" s="114" t="str">
        <f t="shared" si="5"/>
        <v/>
      </c>
      <c r="C109" s="115" t="str">
        <f t="shared" si="6"/>
        <v/>
      </c>
      <c r="D109" s="115" t="str">
        <f t="shared" si="7"/>
        <v/>
      </c>
      <c r="E109" s="115"/>
      <c r="F109" s="115" t="str">
        <f t="shared" si="9"/>
        <v/>
      </c>
      <c r="H109"/>
    </row>
    <row r="110" spans="1:8">
      <c r="A110" s="113" t="e">
        <f t="shared" si="8"/>
        <v>#N/A</v>
      </c>
      <c r="B110" s="114" t="str">
        <f t="shared" si="5"/>
        <v/>
      </c>
      <c r="C110" s="115" t="str">
        <f t="shared" si="6"/>
        <v/>
      </c>
      <c r="D110" s="115" t="str">
        <f t="shared" si="7"/>
        <v/>
      </c>
      <c r="E110" s="115"/>
      <c r="F110" s="115" t="str">
        <f t="shared" si="9"/>
        <v/>
      </c>
      <c r="H110"/>
    </row>
    <row r="111" spans="1:8">
      <c r="A111" s="113" t="e">
        <f t="shared" si="8"/>
        <v>#N/A</v>
      </c>
      <c r="B111" s="114" t="str">
        <f t="shared" si="5"/>
        <v/>
      </c>
      <c r="C111" s="115" t="str">
        <f t="shared" si="6"/>
        <v/>
      </c>
      <c r="D111" s="115" t="str">
        <f t="shared" si="7"/>
        <v/>
      </c>
      <c r="E111" s="115"/>
      <c r="F111" s="115" t="str">
        <f t="shared" si="9"/>
        <v/>
      </c>
      <c r="H111"/>
    </row>
    <row r="112" spans="1:8">
      <c r="A112" s="113" t="e">
        <f t="shared" si="8"/>
        <v>#N/A</v>
      </c>
      <c r="B112" s="114" t="str">
        <f t="shared" si="5"/>
        <v/>
      </c>
      <c r="C112" s="115" t="str">
        <f t="shared" si="6"/>
        <v/>
      </c>
      <c r="D112" s="115" t="str">
        <f t="shared" si="7"/>
        <v/>
      </c>
      <c r="E112" s="115"/>
      <c r="F112" s="115" t="str">
        <f t="shared" si="9"/>
        <v/>
      </c>
      <c r="H112"/>
    </row>
    <row r="113" spans="1:8">
      <c r="A113" s="113" t="e">
        <f t="shared" si="8"/>
        <v>#N/A</v>
      </c>
      <c r="B113" s="114" t="str">
        <f t="shared" si="5"/>
        <v/>
      </c>
      <c r="C113" s="115" t="str">
        <f t="shared" si="6"/>
        <v/>
      </c>
      <c r="D113" s="115" t="str">
        <f t="shared" si="7"/>
        <v/>
      </c>
      <c r="E113" s="115"/>
      <c r="F113" s="115" t="str">
        <f t="shared" si="9"/>
        <v/>
      </c>
      <c r="H113"/>
    </row>
    <row r="114" spans="1:8">
      <c r="A114" s="113" t="e">
        <f t="shared" si="8"/>
        <v>#N/A</v>
      </c>
      <c r="B114" s="114" t="str">
        <f t="shared" si="5"/>
        <v/>
      </c>
      <c r="C114" s="115" t="str">
        <f t="shared" si="6"/>
        <v/>
      </c>
      <c r="D114" s="115" t="str">
        <f t="shared" si="7"/>
        <v/>
      </c>
      <c r="E114" s="115"/>
      <c r="F114" s="115" t="str">
        <f t="shared" si="9"/>
        <v/>
      </c>
      <c r="H114"/>
    </row>
    <row r="115" spans="1:8">
      <c r="A115" s="113" t="e">
        <f t="shared" si="8"/>
        <v>#N/A</v>
      </c>
      <c r="B115" s="114" t="str">
        <f t="shared" si="5"/>
        <v/>
      </c>
      <c r="C115" s="115" t="str">
        <f t="shared" si="6"/>
        <v/>
      </c>
      <c r="D115" s="115" t="str">
        <f t="shared" si="7"/>
        <v/>
      </c>
      <c r="E115" s="115"/>
      <c r="F115" s="115" t="str">
        <f t="shared" si="9"/>
        <v/>
      </c>
      <c r="H115"/>
    </row>
    <row r="116" spans="1:8">
      <c r="A116" s="113" t="e">
        <f t="shared" si="8"/>
        <v>#N/A</v>
      </c>
      <c r="B116" s="114" t="str">
        <f t="shared" si="5"/>
        <v/>
      </c>
      <c r="C116" s="115" t="str">
        <f t="shared" si="6"/>
        <v/>
      </c>
      <c r="D116" s="115" t="str">
        <f t="shared" si="7"/>
        <v/>
      </c>
      <c r="E116" s="115"/>
      <c r="F116" s="115" t="str">
        <f t="shared" si="9"/>
        <v/>
      </c>
      <c r="H116"/>
    </row>
    <row r="117" spans="1:8">
      <c r="A117" s="113" t="e">
        <f t="shared" si="8"/>
        <v>#N/A</v>
      </c>
      <c r="B117" s="114" t="str">
        <f t="shared" si="5"/>
        <v/>
      </c>
      <c r="C117" s="115" t="str">
        <f t="shared" si="6"/>
        <v/>
      </c>
      <c r="D117" s="115" t="str">
        <f t="shared" si="7"/>
        <v/>
      </c>
      <c r="E117" s="115"/>
      <c r="F117" s="115" t="str">
        <f t="shared" si="9"/>
        <v/>
      </c>
      <c r="H117"/>
    </row>
    <row r="118" spans="1:8">
      <c r="A118" s="113" t="e">
        <f t="shared" si="8"/>
        <v>#N/A</v>
      </c>
      <c r="B118" s="114" t="str">
        <f t="shared" si="5"/>
        <v/>
      </c>
      <c r="C118" s="115" t="str">
        <f t="shared" si="6"/>
        <v/>
      </c>
      <c r="D118" s="115" t="str">
        <f t="shared" si="7"/>
        <v/>
      </c>
      <c r="E118" s="115"/>
      <c r="F118" s="115" t="str">
        <f t="shared" si="9"/>
        <v/>
      </c>
      <c r="H118"/>
    </row>
    <row r="119" spans="1:8">
      <c r="A119" s="113" t="e">
        <f t="shared" si="8"/>
        <v>#N/A</v>
      </c>
      <c r="B119" s="114" t="str">
        <f t="shared" si="5"/>
        <v/>
      </c>
      <c r="C119" s="115" t="str">
        <f t="shared" si="6"/>
        <v/>
      </c>
      <c r="D119" s="115" t="str">
        <f t="shared" si="7"/>
        <v/>
      </c>
      <c r="E119" s="115"/>
      <c r="F119" s="115" t="str">
        <f t="shared" si="9"/>
        <v/>
      </c>
      <c r="H119"/>
    </row>
    <row r="120" spans="1:8">
      <c r="A120" s="113" t="e">
        <f t="shared" si="8"/>
        <v>#N/A</v>
      </c>
      <c r="B120" s="114" t="str">
        <f t="shared" si="5"/>
        <v/>
      </c>
      <c r="C120" s="115" t="str">
        <f t="shared" si="6"/>
        <v/>
      </c>
      <c r="D120" s="115" t="str">
        <f t="shared" si="7"/>
        <v/>
      </c>
      <c r="E120" s="115"/>
      <c r="F120" s="115" t="str">
        <f t="shared" si="9"/>
        <v/>
      </c>
      <c r="H120"/>
    </row>
    <row r="121" spans="1:8">
      <c r="A121" s="113" t="e">
        <f t="shared" si="8"/>
        <v>#N/A</v>
      </c>
      <c r="B121" s="114" t="str">
        <f t="shared" si="5"/>
        <v/>
      </c>
      <c r="C121" s="115" t="str">
        <f t="shared" si="6"/>
        <v/>
      </c>
      <c r="D121" s="115" t="str">
        <f t="shared" si="7"/>
        <v/>
      </c>
      <c r="E121" s="115"/>
      <c r="F121" s="115" t="str">
        <f t="shared" si="9"/>
        <v/>
      </c>
      <c r="H121"/>
    </row>
    <row r="122" spans="1:8">
      <c r="A122" s="113" t="e">
        <f t="shared" si="8"/>
        <v>#N/A</v>
      </c>
      <c r="B122" s="114" t="str">
        <f t="shared" si="5"/>
        <v/>
      </c>
      <c r="C122" s="115" t="str">
        <f t="shared" si="6"/>
        <v/>
      </c>
      <c r="D122" s="115" t="str">
        <f t="shared" si="7"/>
        <v/>
      </c>
      <c r="E122" s="115"/>
      <c r="F122" s="115" t="str">
        <f t="shared" si="9"/>
        <v/>
      </c>
      <c r="H122"/>
    </row>
    <row r="123" spans="1:8">
      <c r="A123" s="113" t="e">
        <f t="shared" si="8"/>
        <v>#N/A</v>
      </c>
      <c r="B123" s="114" t="str">
        <f t="shared" si="5"/>
        <v/>
      </c>
      <c r="C123" s="115" t="str">
        <f t="shared" si="6"/>
        <v/>
      </c>
      <c r="D123" s="115" t="str">
        <f t="shared" si="7"/>
        <v/>
      </c>
      <c r="E123" s="115"/>
      <c r="F123" s="115" t="str">
        <f t="shared" si="9"/>
        <v/>
      </c>
      <c r="H123"/>
    </row>
    <row r="124" spans="1:8">
      <c r="A124" s="113" t="e">
        <f t="shared" si="8"/>
        <v>#N/A</v>
      </c>
      <c r="B124" s="114" t="str">
        <f t="shared" si="5"/>
        <v/>
      </c>
      <c r="C124" s="115" t="str">
        <f t="shared" si="6"/>
        <v/>
      </c>
      <c r="D124" s="115" t="str">
        <f t="shared" si="7"/>
        <v/>
      </c>
      <c r="E124" s="115"/>
      <c r="F124" s="115" t="str">
        <f t="shared" si="9"/>
        <v/>
      </c>
      <c r="H124"/>
    </row>
    <row r="125" spans="1:8">
      <c r="A125" s="113" t="e">
        <f t="shared" si="8"/>
        <v>#N/A</v>
      </c>
      <c r="B125" s="114" t="str">
        <f t="shared" si="5"/>
        <v/>
      </c>
      <c r="C125" s="115" t="str">
        <f t="shared" si="6"/>
        <v/>
      </c>
      <c r="D125" s="115" t="str">
        <f t="shared" si="7"/>
        <v/>
      </c>
      <c r="E125" s="115"/>
      <c r="F125" s="115" t="str">
        <f t="shared" si="9"/>
        <v/>
      </c>
      <c r="H125"/>
    </row>
    <row r="126" spans="1:8">
      <c r="A126" s="113" t="e">
        <f t="shared" si="8"/>
        <v>#N/A</v>
      </c>
      <c r="B126" s="114" t="str">
        <f t="shared" si="5"/>
        <v/>
      </c>
      <c r="C126" s="115" t="str">
        <f t="shared" si="6"/>
        <v/>
      </c>
      <c r="D126" s="115" t="str">
        <f t="shared" si="7"/>
        <v/>
      </c>
      <c r="E126" s="115"/>
      <c r="F126" s="115" t="str">
        <f t="shared" si="9"/>
        <v/>
      </c>
      <c r="H126"/>
    </row>
    <row r="127" spans="1:8">
      <c r="A127" s="113" t="e">
        <f t="shared" si="8"/>
        <v>#N/A</v>
      </c>
      <c r="B127" s="114" t="str">
        <f t="shared" si="5"/>
        <v/>
      </c>
      <c r="C127" s="115" t="str">
        <f t="shared" si="6"/>
        <v/>
      </c>
      <c r="D127" s="115" t="str">
        <f t="shared" si="7"/>
        <v/>
      </c>
      <c r="E127" s="115"/>
      <c r="F127" s="115" t="str">
        <f t="shared" si="9"/>
        <v/>
      </c>
      <c r="H127"/>
    </row>
    <row r="128" spans="1:8">
      <c r="A128" s="113" t="e">
        <f t="shared" si="8"/>
        <v>#N/A</v>
      </c>
      <c r="B128" s="114" t="str">
        <f t="shared" si="5"/>
        <v/>
      </c>
      <c r="C128" s="115" t="str">
        <f t="shared" si="6"/>
        <v/>
      </c>
      <c r="D128" s="115" t="str">
        <f t="shared" si="7"/>
        <v/>
      </c>
      <c r="E128" s="115"/>
      <c r="F128" s="115" t="str">
        <f t="shared" si="9"/>
        <v/>
      </c>
      <c r="H128"/>
    </row>
    <row r="129" spans="1:8">
      <c r="A129" s="113" t="e">
        <f t="shared" si="8"/>
        <v>#N/A</v>
      </c>
      <c r="B129" s="114" t="str">
        <f t="shared" si="5"/>
        <v/>
      </c>
      <c r="C129" s="115" t="str">
        <f t="shared" si="6"/>
        <v/>
      </c>
      <c r="D129" s="115" t="str">
        <f t="shared" si="7"/>
        <v/>
      </c>
      <c r="E129" s="115"/>
      <c r="F129" s="115" t="str">
        <f t="shared" si="9"/>
        <v/>
      </c>
      <c r="H129"/>
    </row>
    <row r="130" spans="1:8">
      <c r="A130" s="113" t="e">
        <f t="shared" si="8"/>
        <v>#N/A</v>
      </c>
      <c r="B130" s="114" t="str">
        <f t="shared" si="5"/>
        <v/>
      </c>
      <c r="C130" s="115" t="str">
        <f t="shared" si="6"/>
        <v/>
      </c>
      <c r="D130" s="115" t="str">
        <f t="shared" si="7"/>
        <v/>
      </c>
      <c r="E130" s="115"/>
      <c r="F130" s="115" t="str">
        <f t="shared" si="9"/>
        <v/>
      </c>
      <c r="H130"/>
    </row>
    <row r="131" spans="1:8">
      <c r="A131" s="113" t="e">
        <f t="shared" si="8"/>
        <v>#N/A</v>
      </c>
      <c r="B131" s="114" t="str">
        <f t="shared" si="5"/>
        <v/>
      </c>
      <c r="C131" s="115" t="str">
        <f t="shared" si="6"/>
        <v/>
      </c>
      <c r="D131" s="115" t="str">
        <f t="shared" si="7"/>
        <v/>
      </c>
      <c r="E131" s="115"/>
      <c r="F131" s="115" t="str">
        <f t="shared" si="9"/>
        <v/>
      </c>
      <c r="H131"/>
    </row>
    <row r="132" spans="1:8">
      <c r="A132" s="113" t="e">
        <f t="shared" si="8"/>
        <v>#N/A</v>
      </c>
      <c r="B132" s="114" t="str">
        <f t="shared" si="5"/>
        <v/>
      </c>
      <c r="C132" s="115" t="str">
        <f t="shared" si="6"/>
        <v/>
      </c>
      <c r="D132" s="115" t="str">
        <f t="shared" si="7"/>
        <v/>
      </c>
      <c r="E132" s="115"/>
      <c r="F132" s="115" t="str">
        <f t="shared" si="9"/>
        <v/>
      </c>
      <c r="H132"/>
    </row>
    <row r="133" spans="1:8">
      <c r="A133" s="113" t="e">
        <f t="shared" si="8"/>
        <v>#N/A</v>
      </c>
      <c r="B133" s="114" t="str">
        <f t="shared" si="5"/>
        <v/>
      </c>
      <c r="C133" s="115" t="str">
        <f t="shared" si="6"/>
        <v/>
      </c>
      <c r="D133" s="115" t="str">
        <f t="shared" si="7"/>
        <v/>
      </c>
      <c r="E133" s="115"/>
      <c r="F133" s="115" t="str">
        <f t="shared" si="9"/>
        <v/>
      </c>
      <c r="H133"/>
    </row>
    <row r="134" spans="1:8">
      <c r="A134" s="113" t="e">
        <f t="shared" si="8"/>
        <v>#N/A</v>
      </c>
      <c r="B134" s="114" t="str">
        <f t="shared" si="5"/>
        <v/>
      </c>
      <c r="C134" s="115" t="str">
        <f t="shared" si="6"/>
        <v/>
      </c>
      <c r="D134" s="115" t="str">
        <f t="shared" si="7"/>
        <v/>
      </c>
      <c r="E134" s="115"/>
      <c r="F134" s="115" t="str">
        <f t="shared" si="9"/>
        <v/>
      </c>
      <c r="H134"/>
    </row>
    <row r="135" spans="1:8">
      <c r="A135" s="113" t="e">
        <f t="shared" si="8"/>
        <v>#N/A</v>
      </c>
      <c r="B135" s="114" t="str">
        <f t="shared" si="5"/>
        <v/>
      </c>
      <c r="C135" s="115" t="str">
        <f t="shared" si="6"/>
        <v/>
      </c>
      <c r="D135" s="115" t="str">
        <f t="shared" si="7"/>
        <v/>
      </c>
      <c r="E135" s="115"/>
      <c r="F135" s="115" t="str">
        <f t="shared" si="9"/>
        <v/>
      </c>
      <c r="H135"/>
    </row>
    <row r="136" spans="1:8">
      <c r="A136" s="113" t="e">
        <f t="shared" si="8"/>
        <v>#N/A</v>
      </c>
      <c r="B136" s="114" t="str">
        <f t="shared" si="5"/>
        <v/>
      </c>
      <c r="C136" s="115" t="str">
        <f t="shared" si="6"/>
        <v/>
      </c>
      <c r="D136" s="115" t="str">
        <f t="shared" si="7"/>
        <v/>
      </c>
      <c r="E136" s="115"/>
      <c r="F136" s="115" t="str">
        <f t="shared" si="9"/>
        <v/>
      </c>
      <c r="H136"/>
    </row>
    <row r="137" spans="1:8">
      <c r="A137" s="113" t="e">
        <f t="shared" si="8"/>
        <v>#N/A</v>
      </c>
      <c r="B137" s="114" t="str">
        <f t="shared" si="5"/>
        <v/>
      </c>
      <c r="C137" s="115" t="str">
        <f t="shared" si="6"/>
        <v/>
      </c>
      <c r="D137" s="115" t="str">
        <f t="shared" si="7"/>
        <v/>
      </c>
      <c r="E137" s="115"/>
      <c r="F137" s="115" t="str">
        <f t="shared" si="9"/>
        <v/>
      </c>
      <c r="H137"/>
    </row>
    <row r="138" spans="1:8">
      <c r="A138" s="113" t="e">
        <f t="shared" si="8"/>
        <v>#N/A</v>
      </c>
      <c r="B138" s="114" t="str">
        <f t="shared" si="5"/>
        <v/>
      </c>
      <c r="C138" s="115" t="str">
        <f t="shared" si="6"/>
        <v/>
      </c>
      <c r="D138" s="115" t="str">
        <f t="shared" si="7"/>
        <v/>
      </c>
      <c r="E138" s="115"/>
      <c r="F138" s="115" t="str">
        <f t="shared" si="9"/>
        <v/>
      </c>
      <c r="H138"/>
    </row>
    <row r="139" spans="1:8">
      <c r="A139" s="113" t="e">
        <f t="shared" si="8"/>
        <v>#N/A</v>
      </c>
      <c r="B139" s="114" t="str">
        <f t="shared" si="5"/>
        <v/>
      </c>
      <c r="C139" s="115" t="str">
        <f t="shared" si="6"/>
        <v/>
      </c>
      <c r="D139" s="115" t="str">
        <f t="shared" si="7"/>
        <v/>
      </c>
      <c r="E139" s="115"/>
      <c r="F139" s="115" t="str">
        <f t="shared" si="9"/>
        <v/>
      </c>
      <c r="H139"/>
    </row>
    <row r="140" spans="1:8">
      <c r="A140" s="113" t="e">
        <f t="shared" si="8"/>
        <v>#N/A</v>
      </c>
      <c r="B140" s="114" t="str">
        <f t="shared" si="5"/>
        <v/>
      </c>
      <c r="C140" s="115" t="str">
        <f t="shared" si="6"/>
        <v/>
      </c>
      <c r="D140" s="115" t="str">
        <f t="shared" si="7"/>
        <v/>
      </c>
      <c r="E140" s="115"/>
      <c r="F140" s="115" t="str">
        <f t="shared" si="9"/>
        <v/>
      </c>
      <c r="H140"/>
    </row>
    <row r="141" spans="1:8">
      <c r="A141" s="113" t="e">
        <f t="shared" si="8"/>
        <v>#N/A</v>
      </c>
      <c r="B141" s="114" t="str">
        <f t="shared" si="5"/>
        <v/>
      </c>
      <c r="C141" s="115" t="str">
        <f t="shared" si="6"/>
        <v/>
      </c>
      <c r="D141" s="115" t="str">
        <f t="shared" si="7"/>
        <v/>
      </c>
      <c r="E141" s="115"/>
      <c r="F141" s="115" t="str">
        <f t="shared" si="9"/>
        <v/>
      </c>
      <c r="H141"/>
    </row>
    <row r="142" spans="1:8">
      <c r="A142" s="113" t="e">
        <f t="shared" si="8"/>
        <v>#N/A</v>
      </c>
      <c r="B142" s="114" t="str">
        <f t="shared" si="5"/>
        <v/>
      </c>
      <c r="C142" s="115" t="str">
        <f t="shared" si="6"/>
        <v/>
      </c>
      <c r="D142" s="115" t="str">
        <f t="shared" si="7"/>
        <v/>
      </c>
      <c r="E142" s="115"/>
      <c r="F142" s="115" t="str">
        <f t="shared" si="9"/>
        <v/>
      </c>
      <c r="H142"/>
    </row>
    <row r="143" spans="1:8">
      <c r="A143" s="113" t="e">
        <f t="shared" si="8"/>
        <v>#N/A</v>
      </c>
      <c r="B143" s="114" t="str">
        <f t="shared" si="5"/>
        <v/>
      </c>
      <c r="C143" s="115" t="str">
        <f t="shared" si="6"/>
        <v/>
      </c>
      <c r="D143" s="115" t="str">
        <f t="shared" si="7"/>
        <v/>
      </c>
      <c r="E143" s="115"/>
      <c r="F143" s="115" t="str">
        <f t="shared" si="9"/>
        <v/>
      </c>
      <c r="H143"/>
    </row>
    <row r="144" spans="1:8">
      <c r="A144" s="113" t="e">
        <f t="shared" si="8"/>
        <v>#N/A</v>
      </c>
      <c r="B144" s="114" t="str">
        <f t="shared" si="5"/>
        <v/>
      </c>
      <c r="C144" s="115" t="str">
        <f t="shared" si="6"/>
        <v/>
      </c>
      <c r="D144" s="115" t="str">
        <f t="shared" si="7"/>
        <v/>
      </c>
      <c r="E144" s="115"/>
      <c r="F144" s="115" t="str">
        <f t="shared" si="9"/>
        <v/>
      </c>
      <c r="H144"/>
    </row>
    <row r="145" spans="1:8">
      <c r="A145" s="113" t="e">
        <f t="shared" si="8"/>
        <v>#N/A</v>
      </c>
      <c r="B145" s="114" t="str">
        <f t="shared" si="5"/>
        <v/>
      </c>
      <c r="C145" s="115" t="str">
        <f t="shared" si="6"/>
        <v/>
      </c>
      <c r="D145" s="115" t="str">
        <f t="shared" si="7"/>
        <v/>
      </c>
      <c r="E145" s="115"/>
      <c r="F145" s="115" t="str">
        <f t="shared" si="9"/>
        <v/>
      </c>
      <c r="H145"/>
    </row>
    <row r="146" spans="1:8">
      <c r="A146" s="113" t="e">
        <f t="shared" si="8"/>
        <v>#N/A</v>
      </c>
      <c r="B146" s="114" t="str">
        <f t="shared" si="5"/>
        <v/>
      </c>
      <c r="C146" s="115" t="str">
        <f t="shared" si="6"/>
        <v/>
      </c>
      <c r="D146" s="115" t="str">
        <f t="shared" si="7"/>
        <v/>
      </c>
      <c r="E146" s="115"/>
      <c r="F146" s="115" t="str">
        <f t="shared" si="9"/>
        <v/>
      </c>
      <c r="H146"/>
    </row>
    <row r="147" spans="1:8">
      <c r="A147" s="113" t="e">
        <f t="shared" si="8"/>
        <v>#N/A</v>
      </c>
      <c r="B147" s="114" t="str">
        <f t="shared" si="5"/>
        <v/>
      </c>
      <c r="C147" s="115" t="str">
        <f t="shared" si="6"/>
        <v/>
      </c>
      <c r="D147" s="115" t="str">
        <f t="shared" si="7"/>
        <v/>
      </c>
      <c r="E147" s="115"/>
      <c r="F147" s="115" t="str">
        <f t="shared" si="9"/>
        <v/>
      </c>
      <c r="H147"/>
    </row>
    <row r="148" spans="1:8">
      <c r="A148" s="113" t="e">
        <f t="shared" si="8"/>
        <v>#N/A</v>
      </c>
      <c r="B148" s="114" t="str">
        <f t="shared" si="5"/>
        <v/>
      </c>
      <c r="C148" s="115" t="str">
        <f t="shared" si="6"/>
        <v/>
      </c>
      <c r="D148" s="115" t="str">
        <f t="shared" si="7"/>
        <v/>
      </c>
      <c r="E148" s="115"/>
      <c r="F148" s="115" t="str">
        <f t="shared" si="9"/>
        <v/>
      </c>
      <c r="H148"/>
    </row>
    <row r="149" spans="1:8">
      <c r="A149" s="113" t="e">
        <f t="shared" si="8"/>
        <v>#N/A</v>
      </c>
      <c r="B149" s="114" t="str">
        <f t="shared" si="5"/>
        <v/>
      </c>
      <c r="C149" s="115" t="str">
        <f t="shared" si="6"/>
        <v/>
      </c>
      <c r="D149" s="115" t="str">
        <f t="shared" si="7"/>
        <v/>
      </c>
      <c r="E149" s="115"/>
      <c r="F149" s="115" t="str">
        <f t="shared" si="9"/>
        <v/>
      </c>
      <c r="H149"/>
    </row>
    <row r="150" spans="1:8">
      <c r="A150" s="113" t="e">
        <f t="shared" si="8"/>
        <v>#N/A</v>
      </c>
      <c r="B150" s="114" t="str">
        <f t="shared" si="5"/>
        <v/>
      </c>
      <c r="C150" s="115" t="str">
        <f t="shared" si="6"/>
        <v/>
      </c>
      <c r="D150" s="115" t="str">
        <f t="shared" si="7"/>
        <v/>
      </c>
      <c r="E150" s="115"/>
      <c r="F150" s="115" t="str">
        <f t="shared" si="9"/>
        <v/>
      </c>
      <c r="H150"/>
    </row>
    <row r="151" spans="1:8">
      <c r="A151" s="113" t="e">
        <f t="shared" si="8"/>
        <v>#N/A</v>
      </c>
      <c r="B151" s="114" t="str">
        <f t="shared" si="5"/>
        <v/>
      </c>
      <c r="C151" s="115" t="str">
        <f t="shared" si="6"/>
        <v/>
      </c>
      <c r="D151" s="115" t="str">
        <f t="shared" si="7"/>
        <v/>
      </c>
      <c r="E151" s="115"/>
      <c r="F151" s="115" t="str">
        <f t="shared" si="9"/>
        <v/>
      </c>
      <c r="H151"/>
    </row>
    <row r="152" spans="1:8">
      <c r="A152" s="113" t="e">
        <f t="shared" si="8"/>
        <v>#N/A</v>
      </c>
      <c r="B152" s="114" t="str">
        <f t="shared" si="5"/>
        <v/>
      </c>
      <c r="C152" s="115" t="str">
        <f t="shared" si="6"/>
        <v/>
      </c>
      <c r="D152" s="115" t="str">
        <f t="shared" si="7"/>
        <v/>
      </c>
      <c r="E152" s="115"/>
      <c r="F152" s="115" t="str">
        <f t="shared" si="9"/>
        <v/>
      </c>
      <c r="H152"/>
    </row>
    <row r="153" spans="1:8">
      <c r="A153" s="113" t="e">
        <f t="shared" si="8"/>
        <v>#N/A</v>
      </c>
      <c r="B153" s="114" t="str">
        <f t="shared" si="5"/>
        <v/>
      </c>
      <c r="C153" s="115" t="str">
        <f t="shared" si="6"/>
        <v/>
      </c>
      <c r="D153" s="115" t="str">
        <f t="shared" si="7"/>
        <v/>
      </c>
      <c r="E153" s="115"/>
      <c r="F153" s="115" t="str">
        <f t="shared" si="9"/>
        <v/>
      </c>
      <c r="H153"/>
    </row>
    <row r="154" spans="1:8">
      <c r="A154" s="113" t="e">
        <f t="shared" si="8"/>
        <v>#N/A</v>
      </c>
      <c r="B154" s="114" t="str">
        <f t="shared" si="5"/>
        <v/>
      </c>
      <c r="C154" s="115" t="str">
        <f t="shared" si="6"/>
        <v/>
      </c>
      <c r="D154" s="115" t="str">
        <f t="shared" si="7"/>
        <v/>
      </c>
      <c r="E154" s="115"/>
      <c r="F154" s="115" t="str">
        <f t="shared" si="9"/>
        <v/>
      </c>
      <c r="H154"/>
    </row>
    <row r="155" spans="1:8">
      <c r="A155" s="113" t="e">
        <f t="shared" si="8"/>
        <v>#N/A</v>
      </c>
      <c r="B155" s="114" t="str">
        <f t="shared" si="5"/>
        <v/>
      </c>
      <c r="C155" s="115" t="str">
        <f t="shared" si="6"/>
        <v/>
      </c>
      <c r="D155" s="115" t="str">
        <f t="shared" si="7"/>
        <v/>
      </c>
      <c r="E155" s="115"/>
      <c r="F155" s="115" t="str">
        <f t="shared" si="9"/>
        <v/>
      </c>
      <c r="H155"/>
    </row>
    <row r="156" spans="1:8">
      <c r="A156" s="113" t="e">
        <f t="shared" si="8"/>
        <v>#N/A</v>
      </c>
      <c r="B156" s="114" t="str">
        <f t="shared" ref="B156:B219" si="10">IF(ISERROR(A156),"",IF($D$9="Annually",EDATE(B155,12),EDATE(B155,1)))</f>
        <v/>
      </c>
      <c r="C156" s="115" t="str">
        <f t="shared" ref="C156:C219" si="11">IF(ISERROR(A156),"",ROUND(F155*rper,2))</f>
        <v/>
      </c>
      <c r="D156" s="115" t="str">
        <f t="shared" ref="D156:D219" si="12">IF(ISERROR(A156),"",MIN(ROUND(F155+C156,2),ROUND(FV($G$12,IF(type=1,A156,A155),,-$D$18),2)))</f>
        <v/>
      </c>
      <c r="E156" s="115"/>
      <c r="F156" s="115" t="str">
        <f t="shared" si="9"/>
        <v/>
      </c>
      <c r="H156"/>
    </row>
    <row r="157" spans="1:8">
      <c r="A157" s="113" t="e">
        <f t="shared" ref="A157:A220" si="13">IF(OR(F156="",F156&lt;=0),NA(),A156+1)</f>
        <v>#N/A</v>
      </c>
      <c r="B157" s="114" t="str">
        <f t="shared" si="10"/>
        <v/>
      </c>
      <c r="C157" s="115" t="str">
        <f t="shared" si="11"/>
        <v/>
      </c>
      <c r="D157" s="115" t="str">
        <f t="shared" si="12"/>
        <v/>
      </c>
      <c r="E157" s="115"/>
      <c r="F157" s="115" t="str">
        <f t="shared" ref="F157:F220" si="14">IF(ISERROR(A157),"",ROUND(F156-D157-E157+C157,2))</f>
        <v/>
      </c>
      <c r="H157"/>
    </row>
    <row r="158" spans="1:8">
      <c r="A158" s="113" t="e">
        <f t="shared" si="13"/>
        <v>#N/A</v>
      </c>
      <c r="B158" s="114" t="str">
        <f t="shared" si="10"/>
        <v/>
      </c>
      <c r="C158" s="115" t="str">
        <f t="shared" si="11"/>
        <v/>
      </c>
      <c r="D158" s="115" t="str">
        <f t="shared" si="12"/>
        <v/>
      </c>
      <c r="E158" s="115"/>
      <c r="F158" s="115" t="str">
        <f t="shared" si="14"/>
        <v/>
      </c>
      <c r="H158"/>
    </row>
    <row r="159" spans="1:8">
      <c r="A159" s="113" t="e">
        <f t="shared" si="13"/>
        <v>#N/A</v>
      </c>
      <c r="B159" s="114" t="str">
        <f t="shared" si="10"/>
        <v/>
      </c>
      <c r="C159" s="115" t="str">
        <f t="shared" si="11"/>
        <v/>
      </c>
      <c r="D159" s="115" t="str">
        <f t="shared" si="12"/>
        <v/>
      </c>
      <c r="E159" s="115"/>
      <c r="F159" s="115" t="str">
        <f t="shared" si="14"/>
        <v/>
      </c>
      <c r="H159"/>
    </row>
    <row r="160" spans="1:8">
      <c r="A160" s="113" t="e">
        <f t="shared" si="13"/>
        <v>#N/A</v>
      </c>
      <c r="B160" s="114" t="str">
        <f t="shared" si="10"/>
        <v/>
      </c>
      <c r="C160" s="115" t="str">
        <f t="shared" si="11"/>
        <v/>
      </c>
      <c r="D160" s="115" t="str">
        <f t="shared" si="12"/>
        <v/>
      </c>
      <c r="E160" s="115"/>
      <c r="F160" s="115" t="str">
        <f t="shared" si="14"/>
        <v/>
      </c>
      <c r="H160"/>
    </row>
    <row r="161" spans="1:8">
      <c r="A161" s="113" t="e">
        <f t="shared" si="13"/>
        <v>#N/A</v>
      </c>
      <c r="B161" s="114" t="str">
        <f t="shared" si="10"/>
        <v/>
      </c>
      <c r="C161" s="115" t="str">
        <f t="shared" si="11"/>
        <v/>
      </c>
      <c r="D161" s="115" t="str">
        <f t="shared" si="12"/>
        <v/>
      </c>
      <c r="E161" s="115"/>
      <c r="F161" s="115" t="str">
        <f t="shared" si="14"/>
        <v/>
      </c>
      <c r="H161"/>
    </row>
    <row r="162" spans="1:8">
      <c r="A162" s="113" t="e">
        <f t="shared" si="13"/>
        <v>#N/A</v>
      </c>
      <c r="B162" s="114" t="str">
        <f t="shared" si="10"/>
        <v/>
      </c>
      <c r="C162" s="115" t="str">
        <f t="shared" si="11"/>
        <v/>
      </c>
      <c r="D162" s="115" t="str">
        <f t="shared" si="12"/>
        <v/>
      </c>
      <c r="E162" s="115"/>
      <c r="F162" s="115" t="str">
        <f t="shared" si="14"/>
        <v/>
      </c>
      <c r="H162"/>
    </row>
    <row r="163" spans="1:8">
      <c r="A163" s="113" t="e">
        <f t="shared" si="13"/>
        <v>#N/A</v>
      </c>
      <c r="B163" s="114" t="str">
        <f t="shared" si="10"/>
        <v/>
      </c>
      <c r="C163" s="115" t="str">
        <f t="shared" si="11"/>
        <v/>
      </c>
      <c r="D163" s="115" t="str">
        <f t="shared" si="12"/>
        <v/>
      </c>
      <c r="E163" s="115"/>
      <c r="F163" s="115" t="str">
        <f t="shared" si="14"/>
        <v/>
      </c>
      <c r="H163"/>
    </row>
    <row r="164" spans="1:8">
      <c r="A164" s="113" t="e">
        <f t="shared" si="13"/>
        <v>#N/A</v>
      </c>
      <c r="B164" s="114" t="str">
        <f t="shared" si="10"/>
        <v/>
      </c>
      <c r="C164" s="115" t="str">
        <f t="shared" si="11"/>
        <v/>
      </c>
      <c r="D164" s="115" t="str">
        <f t="shared" si="12"/>
        <v/>
      </c>
      <c r="E164" s="115"/>
      <c r="F164" s="115" t="str">
        <f t="shared" si="14"/>
        <v/>
      </c>
      <c r="H164"/>
    </row>
    <row r="165" spans="1:8">
      <c r="A165" s="113" t="e">
        <f t="shared" si="13"/>
        <v>#N/A</v>
      </c>
      <c r="B165" s="114" t="str">
        <f t="shared" si="10"/>
        <v/>
      </c>
      <c r="C165" s="115" t="str">
        <f t="shared" si="11"/>
        <v/>
      </c>
      <c r="D165" s="115" t="str">
        <f t="shared" si="12"/>
        <v/>
      </c>
      <c r="E165" s="115"/>
      <c r="F165" s="115" t="str">
        <f t="shared" si="14"/>
        <v/>
      </c>
      <c r="H165"/>
    </row>
    <row r="166" spans="1:8">
      <c r="A166" s="113" t="e">
        <f t="shared" si="13"/>
        <v>#N/A</v>
      </c>
      <c r="B166" s="114" t="str">
        <f t="shared" si="10"/>
        <v/>
      </c>
      <c r="C166" s="115" t="str">
        <f t="shared" si="11"/>
        <v/>
      </c>
      <c r="D166" s="115" t="str">
        <f t="shared" si="12"/>
        <v/>
      </c>
      <c r="E166" s="115"/>
      <c r="F166" s="115" t="str">
        <f t="shared" si="14"/>
        <v/>
      </c>
      <c r="H166"/>
    </row>
    <row r="167" spans="1:8">
      <c r="A167" s="113" t="e">
        <f t="shared" si="13"/>
        <v>#N/A</v>
      </c>
      <c r="B167" s="114" t="str">
        <f t="shared" si="10"/>
        <v/>
      </c>
      <c r="C167" s="115" t="str">
        <f t="shared" si="11"/>
        <v/>
      </c>
      <c r="D167" s="115" t="str">
        <f t="shared" si="12"/>
        <v/>
      </c>
      <c r="E167" s="115"/>
      <c r="F167" s="115" t="str">
        <f t="shared" si="14"/>
        <v/>
      </c>
      <c r="H167"/>
    </row>
    <row r="168" spans="1:8">
      <c r="A168" s="113" t="e">
        <f t="shared" si="13"/>
        <v>#N/A</v>
      </c>
      <c r="B168" s="114" t="str">
        <f t="shared" si="10"/>
        <v/>
      </c>
      <c r="C168" s="115" t="str">
        <f t="shared" si="11"/>
        <v/>
      </c>
      <c r="D168" s="115" t="str">
        <f t="shared" si="12"/>
        <v/>
      </c>
      <c r="E168" s="115"/>
      <c r="F168" s="115" t="str">
        <f t="shared" si="14"/>
        <v/>
      </c>
      <c r="H168"/>
    </row>
    <row r="169" spans="1:8">
      <c r="A169" s="113" t="e">
        <f t="shared" si="13"/>
        <v>#N/A</v>
      </c>
      <c r="B169" s="114" t="str">
        <f t="shared" si="10"/>
        <v/>
      </c>
      <c r="C169" s="115" t="str">
        <f t="shared" si="11"/>
        <v/>
      </c>
      <c r="D169" s="115" t="str">
        <f t="shared" si="12"/>
        <v/>
      </c>
      <c r="E169" s="115"/>
      <c r="F169" s="115" t="str">
        <f t="shared" si="14"/>
        <v/>
      </c>
      <c r="H169"/>
    </row>
    <row r="170" spans="1:8">
      <c r="A170" s="113" t="e">
        <f t="shared" si="13"/>
        <v>#N/A</v>
      </c>
      <c r="B170" s="114" t="str">
        <f t="shared" si="10"/>
        <v/>
      </c>
      <c r="C170" s="115" t="str">
        <f t="shared" si="11"/>
        <v/>
      </c>
      <c r="D170" s="115" t="str">
        <f t="shared" si="12"/>
        <v/>
      </c>
      <c r="E170" s="115"/>
      <c r="F170" s="115" t="str">
        <f t="shared" si="14"/>
        <v/>
      </c>
      <c r="H170"/>
    </row>
    <row r="171" spans="1:8">
      <c r="A171" s="113" t="e">
        <f t="shared" si="13"/>
        <v>#N/A</v>
      </c>
      <c r="B171" s="114" t="str">
        <f t="shared" si="10"/>
        <v/>
      </c>
      <c r="C171" s="115" t="str">
        <f t="shared" si="11"/>
        <v/>
      </c>
      <c r="D171" s="115" t="str">
        <f t="shared" si="12"/>
        <v/>
      </c>
      <c r="E171" s="115"/>
      <c r="F171" s="115" t="str">
        <f t="shared" si="14"/>
        <v/>
      </c>
      <c r="H171"/>
    </row>
    <row r="172" spans="1:8">
      <c r="A172" s="113" t="e">
        <f t="shared" si="13"/>
        <v>#N/A</v>
      </c>
      <c r="B172" s="114" t="str">
        <f t="shared" si="10"/>
        <v/>
      </c>
      <c r="C172" s="115" t="str">
        <f t="shared" si="11"/>
        <v/>
      </c>
      <c r="D172" s="115" t="str">
        <f t="shared" si="12"/>
        <v/>
      </c>
      <c r="E172" s="115"/>
      <c r="F172" s="115" t="str">
        <f t="shared" si="14"/>
        <v/>
      </c>
      <c r="H172"/>
    </row>
    <row r="173" spans="1:8">
      <c r="A173" s="113" t="e">
        <f t="shared" si="13"/>
        <v>#N/A</v>
      </c>
      <c r="B173" s="114" t="str">
        <f t="shared" si="10"/>
        <v/>
      </c>
      <c r="C173" s="115" t="str">
        <f t="shared" si="11"/>
        <v/>
      </c>
      <c r="D173" s="115" t="str">
        <f t="shared" si="12"/>
        <v/>
      </c>
      <c r="E173" s="115"/>
      <c r="F173" s="115" t="str">
        <f t="shared" si="14"/>
        <v/>
      </c>
      <c r="H173"/>
    </row>
    <row r="174" spans="1:8">
      <c r="A174" s="113" t="e">
        <f t="shared" si="13"/>
        <v>#N/A</v>
      </c>
      <c r="B174" s="114" t="str">
        <f t="shared" si="10"/>
        <v/>
      </c>
      <c r="C174" s="115" t="str">
        <f t="shared" si="11"/>
        <v/>
      </c>
      <c r="D174" s="115" t="str">
        <f t="shared" si="12"/>
        <v/>
      </c>
      <c r="E174" s="115"/>
      <c r="F174" s="115" t="str">
        <f t="shared" si="14"/>
        <v/>
      </c>
      <c r="H174"/>
    </row>
    <row r="175" spans="1:8">
      <c r="A175" s="113" t="e">
        <f t="shared" si="13"/>
        <v>#N/A</v>
      </c>
      <c r="B175" s="114" t="str">
        <f t="shared" si="10"/>
        <v/>
      </c>
      <c r="C175" s="115" t="str">
        <f t="shared" si="11"/>
        <v/>
      </c>
      <c r="D175" s="115" t="str">
        <f t="shared" si="12"/>
        <v/>
      </c>
      <c r="E175" s="115"/>
      <c r="F175" s="115" t="str">
        <f t="shared" si="14"/>
        <v/>
      </c>
      <c r="H175"/>
    </row>
    <row r="176" spans="1:8">
      <c r="A176" s="113" t="e">
        <f t="shared" si="13"/>
        <v>#N/A</v>
      </c>
      <c r="B176" s="114" t="str">
        <f t="shared" si="10"/>
        <v/>
      </c>
      <c r="C176" s="115" t="str">
        <f t="shared" si="11"/>
        <v/>
      </c>
      <c r="D176" s="115" t="str">
        <f t="shared" si="12"/>
        <v/>
      </c>
      <c r="E176" s="115"/>
      <c r="F176" s="115" t="str">
        <f t="shared" si="14"/>
        <v/>
      </c>
      <c r="H176"/>
    </row>
    <row r="177" spans="1:8">
      <c r="A177" s="113" t="e">
        <f t="shared" si="13"/>
        <v>#N/A</v>
      </c>
      <c r="B177" s="114" t="str">
        <f t="shared" si="10"/>
        <v/>
      </c>
      <c r="C177" s="115" t="str">
        <f t="shared" si="11"/>
        <v/>
      </c>
      <c r="D177" s="115" t="str">
        <f t="shared" si="12"/>
        <v/>
      </c>
      <c r="E177" s="115"/>
      <c r="F177" s="115" t="str">
        <f t="shared" si="14"/>
        <v/>
      </c>
      <c r="H177"/>
    </row>
    <row r="178" spans="1:8">
      <c r="A178" s="113" t="e">
        <f t="shared" si="13"/>
        <v>#N/A</v>
      </c>
      <c r="B178" s="114" t="str">
        <f t="shared" si="10"/>
        <v/>
      </c>
      <c r="C178" s="115" t="str">
        <f t="shared" si="11"/>
        <v/>
      </c>
      <c r="D178" s="115" t="str">
        <f t="shared" si="12"/>
        <v/>
      </c>
      <c r="E178" s="115"/>
      <c r="F178" s="115" t="str">
        <f t="shared" si="14"/>
        <v/>
      </c>
      <c r="H178"/>
    </row>
    <row r="179" spans="1:8">
      <c r="A179" s="113" t="e">
        <f t="shared" si="13"/>
        <v>#N/A</v>
      </c>
      <c r="B179" s="114" t="str">
        <f t="shared" si="10"/>
        <v/>
      </c>
      <c r="C179" s="115" t="str">
        <f t="shared" si="11"/>
        <v/>
      </c>
      <c r="D179" s="115" t="str">
        <f t="shared" si="12"/>
        <v/>
      </c>
      <c r="E179" s="115"/>
      <c r="F179" s="115" t="str">
        <f t="shared" si="14"/>
        <v/>
      </c>
      <c r="H179"/>
    </row>
    <row r="180" spans="1:8">
      <c r="A180" s="113" t="e">
        <f t="shared" si="13"/>
        <v>#N/A</v>
      </c>
      <c r="B180" s="114" t="str">
        <f t="shared" si="10"/>
        <v/>
      </c>
      <c r="C180" s="115" t="str">
        <f t="shared" si="11"/>
        <v/>
      </c>
      <c r="D180" s="115" t="str">
        <f t="shared" si="12"/>
        <v/>
      </c>
      <c r="E180" s="115"/>
      <c r="F180" s="115" t="str">
        <f t="shared" si="14"/>
        <v/>
      </c>
      <c r="H180"/>
    </row>
    <row r="181" spans="1:8">
      <c r="A181" s="113" t="e">
        <f t="shared" si="13"/>
        <v>#N/A</v>
      </c>
      <c r="B181" s="114" t="str">
        <f t="shared" si="10"/>
        <v/>
      </c>
      <c r="C181" s="115" t="str">
        <f t="shared" si="11"/>
        <v/>
      </c>
      <c r="D181" s="115" t="str">
        <f t="shared" si="12"/>
        <v/>
      </c>
      <c r="E181" s="115"/>
      <c r="F181" s="115" t="str">
        <f t="shared" si="14"/>
        <v/>
      </c>
      <c r="H181"/>
    </row>
    <row r="182" spans="1:8">
      <c r="A182" s="113" t="e">
        <f t="shared" si="13"/>
        <v>#N/A</v>
      </c>
      <c r="B182" s="114" t="str">
        <f t="shared" si="10"/>
        <v/>
      </c>
      <c r="C182" s="115" t="str">
        <f t="shared" si="11"/>
        <v/>
      </c>
      <c r="D182" s="115" t="str">
        <f t="shared" si="12"/>
        <v/>
      </c>
      <c r="E182" s="115"/>
      <c r="F182" s="115" t="str">
        <f t="shared" si="14"/>
        <v/>
      </c>
      <c r="H182"/>
    </row>
    <row r="183" spans="1:8">
      <c r="A183" s="113" t="e">
        <f t="shared" si="13"/>
        <v>#N/A</v>
      </c>
      <c r="B183" s="114" t="str">
        <f t="shared" si="10"/>
        <v/>
      </c>
      <c r="C183" s="115" t="str">
        <f t="shared" si="11"/>
        <v/>
      </c>
      <c r="D183" s="115" t="str">
        <f t="shared" si="12"/>
        <v/>
      </c>
      <c r="E183" s="115"/>
      <c r="F183" s="115" t="str">
        <f t="shared" si="14"/>
        <v/>
      </c>
      <c r="H183"/>
    </row>
    <row r="184" spans="1:8">
      <c r="A184" s="113" t="e">
        <f t="shared" si="13"/>
        <v>#N/A</v>
      </c>
      <c r="B184" s="114" t="str">
        <f t="shared" si="10"/>
        <v/>
      </c>
      <c r="C184" s="115" t="str">
        <f t="shared" si="11"/>
        <v/>
      </c>
      <c r="D184" s="115" t="str">
        <f t="shared" si="12"/>
        <v/>
      </c>
      <c r="E184" s="115"/>
      <c r="F184" s="115" t="str">
        <f t="shared" si="14"/>
        <v/>
      </c>
      <c r="H184"/>
    </row>
    <row r="185" spans="1:8">
      <c r="A185" s="113" t="e">
        <f t="shared" si="13"/>
        <v>#N/A</v>
      </c>
      <c r="B185" s="114" t="str">
        <f t="shared" si="10"/>
        <v/>
      </c>
      <c r="C185" s="115" t="str">
        <f t="shared" si="11"/>
        <v/>
      </c>
      <c r="D185" s="115" t="str">
        <f t="shared" si="12"/>
        <v/>
      </c>
      <c r="E185" s="115"/>
      <c r="F185" s="115" t="str">
        <f t="shared" si="14"/>
        <v/>
      </c>
      <c r="H185"/>
    </row>
    <row r="186" spans="1:8">
      <c r="A186" s="113" t="e">
        <f t="shared" si="13"/>
        <v>#N/A</v>
      </c>
      <c r="B186" s="114" t="str">
        <f t="shared" si="10"/>
        <v/>
      </c>
      <c r="C186" s="115" t="str">
        <f t="shared" si="11"/>
        <v/>
      </c>
      <c r="D186" s="115" t="str">
        <f t="shared" si="12"/>
        <v/>
      </c>
      <c r="E186" s="115"/>
      <c r="F186" s="115" t="str">
        <f t="shared" si="14"/>
        <v/>
      </c>
      <c r="H186"/>
    </row>
    <row r="187" spans="1:8">
      <c r="A187" s="113" t="e">
        <f t="shared" si="13"/>
        <v>#N/A</v>
      </c>
      <c r="B187" s="114" t="str">
        <f t="shared" si="10"/>
        <v/>
      </c>
      <c r="C187" s="115" t="str">
        <f t="shared" si="11"/>
        <v/>
      </c>
      <c r="D187" s="115" t="str">
        <f t="shared" si="12"/>
        <v/>
      </c>
      <c r="E187" s="115"/>
      <c r="F187" s="115" t="str">
        <f t="shared" si="14"/>
        <v/>
      </c>
      <c r="H187"/>
    </row>
    <row r="188" spans="1:8">
      <c r="A188" s="113" t="e">
        <f t="shared" si="13"/>
        <v>#N/A</v>
      </c>
      <c r="B188" s="114" t="str">
        <f t="shared" si="10"/>
        <v/>
      </c>
      <c r="C188" s="115" t="str">
        <f t="shared" si="11"/>
        <v/>
      </c>
      <c r="D188" s="115" t="str">
        <f t="shared" si="12"/>
        <v/>
      </c>
      <c r="E188" s="115"/>
      <c r="F188" s="115" t="str">
        <f t="shared" si="14"/>
        <v/>
      </c>
      <c r="H188"/>
    </row>
    <row r="189" spans="1:8">
      <c r="A189" s="113" t="e">
        <f t="shared" si="13"/>
        <v>#N/A</v>
      </c>
      <c r="B189" s="114" t="str">
        <f t="shared" si="10"/>
        <v/>
      </c>
      <c r="C189" s="115" t="str">
        <f t="shared" si="11"/>
        <v/>
      </c>
      <c r="D189" s="115" t="str">
        <f t="shared" si="12"/>
        <v/>
      </c>
      <c r="E189" s="115"/>
      <c r="F189" s="115" t="str">
        <f t="shared" si="14"/>
        <v/>
      </c>
      <c r="H189"/>
    </row>
    <row r="190" spans="1:8">
      <c r="A190" s="113" t="e">
        <f t="shared" si="13"/>
        <v>#N/A</v>
      </c>
      <c r="B190" s="114" t="str">
        <f t="shared" si="10"/>
        <v/>
      </c>
      <c r="C190" s="115" t="str">
        <f t="shared" si="11"/>
        <v/>
      </c>
      <c r="D190" s="115" t="str">
        <f t="shared" si="12"/>
        <v/>
      </c>
      <c r="E190" s="115"/>
      <c r="F190" s="115" t="str">
        <f t="shared" si="14"/>
        <v/>
      </c>
      <c r="H190"/>
    </row>
    <row r="191" spans="1:8">
      <c r="A191" s="113" t="e">
        <f t="shared" si="13"/>
        <v>#N/A</v>
      </c>
      <c r="B191" s="114" t="str">
        <f t="shared" si="10"/>
        <v/>
      </c>
      <c r="C191" s="115" t="str">
        <f t="shared" si="11"/>
        <v/>
      </c>
      <c r="D191" s="115" t="str">
        <f t="shared" si="12"/>
        <v/>
      </c>
      <c r="E191" s="115"/>
      <c r="F191" s="115" t="str">
        <f t="shared" si="14"/>
        <v/>
      </c>
      <c r="H191"/>
    </row>
    <row r="192" spans="1:8">
      <c r="A192" s="113" t="e">
        <f t="shared" si="13"/>
        <v>#N/A</v>
      </c>
      <c r="B192" s="114" t="str">
        <f t="shared" si="10"/>
        <v/>
      </c>
      <c r="C192" s="115" t="str">
        <f t="shared" si="11"/>
        <v/>
      </c>
      <c r="D192" s="115" t="str">
        <f t="shared" si="12"/>
        <v/>
      </c>
      <c r="E192" s="115"/>
      <c r="F192" s="115" t="str">
        <f t="shared" si="14"/>
        <v/>
      </c>
      <c r="H192"/>
    </row>
    <row r="193" spans="1:8">
      <c r="A193" s="113" t="e">
        <f t="shared" si="13"/>
        <v>#N/A</v>
      </c>
      <c r="B193" s="114" t="str">
        <f t="shared" si="10"/>
        <v/>
      </c>
      <c r="C193" s="115" t="str">
        <f t="shared" si="11"/>
        <v/>
      </c>
      <c r="D193" s="115" t="str">
        <f t="shared" si="12"/>
        <v/>
      </c>
      <c r="E193" s="115"/>
      <c r="F193" s="115" t="str">
        <f t="shared" si="14"/>
        <v/>
      </c>
      <c r="H193"/>
    </row>
    <row r="194" spans="1:8">
      <c r="A194" s="113" t="e">
        <f t="shared" si="13"/>
        <v>#N/A</v>
      </c>
      <c r="B194" s="114" t="str">
        <f t="shared" si="10"/>
        <v/>
      </c>
      <c r="C194" s="115" t="str">
        <f t="shared" si="11"/>
        <v/>
      </c>
      <c r="D194" s="115" t="str">
        <f t="shared" si="12"/>
        <v/>
      </c>
      <c r="E194" s="115"/>
      <c r="F194" s="115" t="str">
        <f t="shared" si="14"/>
        <v/>
      </c>
      <c r="H194"/>
    </row>
    <row r="195" spans="1:8">
      <c r="A195" s="113" t="e">
        <f t="shared" si="13"/>
        <v>#N/A</v>
      </c>
      <c r="B195" s="114" t="str">
        <f t="shared" si="10"/>
        <v/>
      </c>
      <c r="C195" s="115" t="str">
        <f t="shared" si="11"/>
        <v/>
      </c>
      <c r="D195" s="115" t="str">
        <f t="shared" si="12"/>
        <v/>
      </c>
      <c r="E195" s="115"/>
      <c r="F195" s="115" t="str">
        <f t="shared" si="14"/>
        <v/>
      </c>
      <c r="H195"/>
    </row>
    <row r="196" spans="1:8">
      <c r="A196" s="113" t="e">
        <f t="shared" si="13"/>
        <v>#N/A</v>
      </c>
      <c r="B196" s="114" t="str">
        <f t="shared" si="10"/>
        <v/>
      </c>
      <c r="C196" s="115" t="str">
        <f t="shared" si="11"/>
        <v/>
      </c>
      <c r="D196" s="115" t="str">
        <f t="shared" si="12"/>
        <v/>
      </c>
      <c r="E196" s="115"/>
      <c r="F196" s="115" t="str">
        <f t="shared" si="14"/>
        <v/>
      </c>
      <c r="H196"/>
    </row>
    <row r="197" spans="1:8">
      <c r="A197" s="113" t="e">
        <f t="shared" si="13"/>
        <v>#N/A</v>
      </c>
      <c r="B197" s="114" t="str">
        <f t="shared" si="10"/>
        <v/>
      </c>
      <c r="C197" s="115" t="str">
        <f t="shared" si="11"/>
        <v/>
      </c>
      <c r="D197" s="115" t="str">
        <f t="shared" si="12"/>
        <v/>
      </c>
      <c r="E197" s="115"/>
      <c r="F197" s="115" t="str">
        <f t="shared" si="14"/>
        <v/>
      </c>
      <c r="H197"/>
    </row>
    <row r="198" spans="1:8">
      <c r="A198" s="113" t="e">
        <f t="shared" si="13"/>
        <v>#N/A</v>
      </c>
      <c r="B198" s="114" t="str">
        <f t="shared" si="10"/>
        <v/>
      </c>
      <c r="C198" s="115" t="str">
        <f t="shared" si="11"/>
        <v/>
      </c>
      <c r="D198" s="115" t="str">
        <f t="shared" si="12"/>
        <v/>
      </c>
      <c r="E198" s="115"/>
      <c r="F198" s="115" t="str">
        <f t="shared" si="14"/>
        <v/>
      </c>
      <c r="H198"/>
    </row>
    <row r="199" spans="1:8">
      <c r="A199" s="113" t="e">
        <f t="shared" si="13"/>
        <v>#N/A</v>
      </c>
      <c r="B199" s="114" t="str">
        <f t="shared" si="10"/>
        <v/>
      </c>
      <c r="C199" s="115" t="str">
        <f t="shared" si="11"/>
        <v/>
      </c>
      <c r="D199" s="115" t="str">
        <f t="shared" si="12"/>
        <v/>
      </c>
      <c r="E199" s="115"/>
      <c r="F199" s="115" t="str">
        <f t="shared" si="14"/>
        <v/>
      </c>
      <c r="H199"/>
    </row>
    <row r="200" spans="1:8">
      <c r="A200" s="113" t="e">
        <f t="shared" si="13"/>
        <v>#N/A</v>
      </c>
      <c r="B200" s="114" t="str">
        <f t="shared" si="10"/>
        <v/>
      </c>
      <c r="C200" s="115" t="str">
        <f t="shared" si="11"/>
        <v/>
      </c>
      <c r="D200" s="115" t="str">
        <f t="shared" si="12"/>
        <v/>
      </c>
      <c r="E200" s="115"/>
      <c r="F200" s="115" t="str">
        <f t="shared" si="14"/>
        <v/>
      </c>
      <c r="H200"/>
    </row>
    <row r="201" spans="1:8">
      <c r="A201" s="113" t="e">
        <f t="shared" si="13"/>
        <v>#N/A</v>
      </c>
      <c r="B201" s="114" t="str">
        <f t="shared" si="10"/>
        <v/>
      </c>
      <c r="C201" s="115" t="str">
        <f t="shared" si="11"/>
        <v/>
      </c>
      <c r="D201" s="115" t="str">
        <f t="shared" si="12"/>
        <v/>
      </c>
      <c r="E201" s="115"/>
      <c r="F201" s="115" t="str">
        <f t="shared" si="14"/>
        <v/>
      </c>
      <c r="H201"/>
    </row>
    <row r="202" spans="1:8">
      <c r="A202" s="113" t="e">
        <f t="shared" si="13"/>
        <v>#N/A</v>
      </c>
      <c r="B202" s="114" t="str">
        <f t="shared" si="10"/>
        <v/>
      </c>
      <c r="C202" s="115" t="str">
        <f t="shared" si="11"/>
        <v/>
      </c>
      <c r="D202" s="115" t="str">
        <f t="shared" si="12"/>
        <v/>
      </c>
      <c r="E202" s="115"/>
      <c r="F202" s="115" t="str">
        <f t="shared" si="14"/>
        <v/>
      </c>
      <c r="H202"/>
    </row>
    <row r="203" spans="1:8">
      <c r="A203" s="113" t="e">
        <f t="shared" si="13"/>
        <v>#N/A</v>
      </c>
      <c r="B203" s="114" t="str">
        <f t="shared" si="10"/>
        <v/>
      </c>
      <c r="C203" s="115" t="str">
        <f t="shared" si="11"/>
        <v/>
      </c>
      <c r="D203" s="115" t="str">
        <f t="shared" si="12"/>
        <v/>
      </c>
      <c r="E203" s="115"/>
      <c r="F203" s="115" t="str">
        <f t="shared" si="14"/>
        <v/>
      </c>
      <c r="H203"/>
    </row>
    <row r="204" spans="1:8">
      <c r="A204" s="113" t="e">
        <f t="shared" si="13"/>
        <v>#N/A</v>
      </c>
      <c r="B204" s="114" t="str">
        <f t="shared" si="10"/>
        <v/>
      </c>
      <c r="C204" s="115" t="str">
        <f t="shared" si="11"/>
        <v/>
      </c>
      <c r="D204" s="115" t="str">
        <f t="shared" si="12"/>
        <v/>
      </c>
      <c r="E204" s="115"/>
      <c r="F204" s="115" t="str">
        <f t="shared" si="14"/>
        <v/>
      </c>
      <c r="H204"/>
    </row>
    <row r="205" spans="1:8">
      <c r="A205" s="113" t="e">
        <f t="shared" si="13"/>
        <v>#N/A</v>
      </c>
      <c r="B205" s="114" t="str">
        <f t="shared" si="10"/>
        <v/>
      </c>
      <c r="C205" s="115" t="str">
        <f t="shared" si="11"/>
        <v/>
      </c>
      <c r="D205" s="115" t="str">
        <f t="shared" si="12"/>
        <v/>
      </c>
      <c r="E205" s="115"/>
      <c r="F205" s="115" t="str">
        <f t="shared" si="14"/>
        <v/>
      </c>
      <c r="H205"/>
    </row>
    <row r="206" spans="1:8">
      <c r="A206" s="113" t="e">
        <f t="shared" si="13"/>
        <v>#N/A</v>
      </c>
      <c r="B206" s="114" t="str">
        <f t="shared" si="10"/>
        <v/>
      </c>
      <c r="C206" s="115" t="str">
        <f t="shared" si="11"/>
        <v/>
      </c>
      <c r="D206" s="115" t="str">
        <f t="shared" si="12"/>
        <v/>
      </c>
      <c r="E206" s="115"/>
      <c r="F206" s="115" t="str">
        <f t="shared" si="14"/>
        <v/>
      </c>
      <c r="H206"/>
    </row>
    <row r="207" spans="1:8">
      <c r="A207" s="113" t="e">
        <f t="shared" si="13"/>
        <v>#N/A</v>
      </c>
      <c r="B207" s="114" t="str">
        <f t="shared" si="10"/>
        <v/>
      </c>
      <c r="C207" s="115" t="str">
        <f t="shared" si="11"/>
        <v/>
      </c>
      <c r="D207" s="115" t="str">
        <f t="shared" si="12"/>
        <v/>
      </c>
      <c r="E207" s="115"/>
      <c r="F207" s="115" t="str">
        <f t="shared" si="14"/>
        <v/>
      </c>
      <c r="H207"/>
    </row>
    <row r="208" spans="1:8">
      <c r="A208" s="113" t="e">
        <f t="shared" si="13"/>
        <v>#N/A</v>
      </c>
      <c r="B208" s="114" t="str">
        <f t="shared" si="10"/>
        <v/>
      </c>
      <c r="C208" s="115" t="str">
        <f t="shared" si="11"/>
        <v/>
      </c>
      <c r="D208" s="115" t="str">
        <f t="shared" si="12"/>
        <v/>
      </c>
      <c r="E208" s="115"/>
      <c r="F208" s="115" t="str">
        <f t="shared" si="14"/>
        <v/>
      </c>
      <c r="H208"/>
    </row>
    <row r="209" spans="1:8">
      <c r="A209" s="113" t="e">
        <f t="shared" si="13"/>
        <v>#N/A</v>
      </c>
      <c r="B209" s="114" t="str">
        <f t="shared" si="10"/>
        <v/>
      </c>
      <c r="C209" s="115" t="str">
        <f t="shared" si="11"/>
        <v/>
      </c>
      <c r="D209" s="115" t="str">
        <f t="shared" si="12"/>
        <v/>
      </c>
      <c r="E209" s="115"/>
      <c r="F209" s="115" t="str">
        <f t="shared" si="14"/>
        <v/>
      </c>
      <c r="H209"/>
    </row>
    <row r="210" spans="1:8">
      <c r="A210" s="113" t="e">
        <f t="shared" si="13"/>
        <v>#N/A</v>
      </c>
      <c r="B210" s="114" t="str">
        <f t="shared" si="10"/>
        <v/>
      </c>
      <c r="C210" s="115" t="str">
        <f t="shared" si="11"/>
        <v/>
      </c>
      <c r="D210" s="115" t="str">
        <f t="shared" si="12"/>
        <v/>
      </c>
      <c r="E210" s="115"/>
      <c r="F210" s="115" t="str">
        <f t="shared" si="14"/>
        <v/>
      </c>
      <c r="H210"/>
    </row>
    <row r="211" spans="1:8">
      <c r="A211" s="113" t="e">
        <f t="shared" si="13"/>
        <v>#N/A</v>
      </c>
      <c r="B211" s="114" t="str">
        <f t="shared" si="10"/>
        <v/>
      </c>
      <c r="C211" s="115" t="str">
        <f t="shared" si="11"/>
        <v/>
      </c>
      <c r="D211" s="115" t="str">
        <f t="shared" si="12"/>
        <v/>
      </c>
      <c r="E211" s="115"/>
      <c r="F211" s="115" t="str">
        <f t="shared" si="14"/>
        <v/>
      </c>
      <c r="H211"/>
    </row>
    <row r="212" spans="1:8">
      <c r="A212" s="113" t="e">
        <f t="shared" si="13"/>
        <v>#N/A</v>
      </c>
      <c r="B212" s="114" t="str">
        <f t="shared" si="10"/>
        <v/>
      </c>
      <c r="C212" s="115" t="str">
        <f t="shared" si="11"/>
        <v/>
      </c>
      <c r="D212" s="115" t="str">
        <f t="shared" si="12"/>
        <v/>
      </c>
      <c r="E212" s="115"/>
      <c r="F212" s="115" t="str">
        <f t="shared" si="14"/>
        <v/>
      </c>
      <c r="H212"/>
    </row>
    <row r="213" spans="1:8">
      <c r="A213" s="113" t="e">
        <f t="shared" si="13"/>
        <v>#N/A</v>
      </c>
      <c r="B213" s="114" t="str">
        <f t="shared" si="10"/>
        <v/>
      </c>
      <c r="C213" s="115" t="str">
        <f t="shared" si="11"/>
        <v/>
      </c>
      <c r="D213" s="115" t="str">
        <f t="shared" si="12"/>
        <v/>
      </c>
      <c r="E213" s="115"/>
      <c r="F213" s="115" t="str">
        <f t="shared" si="14"/>
        <v/>
      </c>
      <c r="H213"/>
    </row>
    <row r="214" spans="1:8">
      <c r="A214" s="113" t="e">
        <f t="shared" si="13"/>
        <v>#N/A</v>
      </c>
      <c r="B214" s="114" t="str">
        <f t="shared" si="10"/>
        <v/>
      </c>
      <c r="C214" s="115" t="str">
        <f t="shared" si="11"/>
        <v/>
      </c>
      <c r="D214" s="115" t="str">
        <f t="shared" si="12"/>
        <v/>
      </c>
      <c r="E214" s="115"/>
      <c r="F214" s="115" t="str">
        <f t="shared" si="14"/>
        <v/>
      </c>
      <c r="H214"/>
    </row>
    <row r="215" spans="1:8">
      <c r="A215" s="113" t="e">
        <f t="shared" si="13"/>
        <v>#N/A</v>
      </c>
      <c r="B215" s="114" t="str">
        <f t="shared" si="10"/>
        <v/>
      </c>
      <c r="C215" s="115" t="str">
        <f t="shared" si="11"/>
        <v/>
      </c>
      <c r="D215" s="115" t="str">
        <f t="shared" si="12"/>
        <v/>
      </c>
      <c r="E215" s="115"/>
      <c r="F215" s="115" t="str">
        <f t="shared" si="14"/>
        <v/>
      </c>
      <c r="H215"/>
    </row>
    <row r="216" spans="1:8">
      <c r="A216" s="113" t="e">
        <f t="shared" si="13"/>
        <v>#N/A</v>
      </c>
      <c r="B216" s="114" t="str">
        <f t="shared" si="10"/>
        <v/>
      </c>
      <c r="C216" s="115" t="str">
        <f t="shared" si="11"/>
        <v/>
      </c>
      <c r="D216" s="115" t="str">
        <f t="shared" si="12"/>
        <v/>
      </c>
      <c r="E216" s="115"/>
      <c r="F216" s="115" t="str">
        <f t="shared" si="14"/>
        <v/>
      </c>
      <c r="H216"/>
    </row>
    <row r="217" spans="1:8">
      <c r="A217" s="113" t="e">
        <f t="shared" si="13"/>
        <v>#N/A</v>
      </c>
      <c r="B217" s="114" t="str">
        <f t="shared" si="10"/>
        <v/>
      </c>
      <c r="C217" s="115" t="str">
        <f t="shared" si="11"/>
        <v/>
      </c>
      <c r="D217" s="115" t="str">
        <f t="shared" si="12"/>
        <v/>
      </c>
      <c r="E217" s="115"/>
      <c r="F217" s="115" t="str">
        <f t="shared" si="14"/>
        <v/>
      </c>
      <c r="H217"/>
    </row>
    <row r="218" spans="1:8">
      <c r="A218" s="113" t="e">
        <f t="shared" si="13"/>
        <v>#N/A</v>
      </c>
      <c r="B218" s="114" t="str">
        <f t="shared" si="10"/>
        <v/>
      </c>
      <c r="C218" s="115" t="str">
        <f t="shared" si="11"/>
        <v/>
      </c>
      <c r="D218" s="115" t="str">
        <f t="shared" si="12"/>
        <v/>
      </c>
      <c r="E218" s="115"/>
      <c r="F218" s="115" t="str">
        <f t="shared" si="14"/>
        <v/>
      </c>
      <c r="H218"/>
    </row>
    <row r="219" spans="1:8">
      <c r="A219" s="113" t="e">
        <f t="shared" si="13"/>
        <v>#N/A</v>
      </c>
      <c r="B219" s="114" t="str">
        <f t="shared" si="10"/>
        <v/>
      </c>
      <c r="C219" s="115" t="str">
        <f t="shared" si="11"/>
        <v/>
      </c>
      <c r="D219" s="115" t="str">
        <f t="shared" si="12"/>
        <v/>
      </c>
      <c r="E219" s="115"/>
      <c r="F219" s="115" t="str">
        <f t="shared" si="14"/>
        <v/>
      </c>
      <c r="H219"/>
    </row>
    <row r="220" spans="1:8">
      <c r="A220" s="113" t="e">
        <f t="shared" si="13"/>
        <v>#N/A</v>
      </c>
      <c r="B220" s="114" t="str">
        <f t="shared" ref="B220:B283" si="15">IF(ISERROR(A220),"",IF($D$9="Annually",EDATE(B219,12),EDATE(B219,1)))</f>
        <v/>
      </c>
      <c r="C220" s="115" t="str">
        <f t="shared" ref="C220:C283" si="16">IF(ISERROR(A220),"",ROUND(F219*rper,2))</f>
        <v/>
      </c>
      <c r="D220" s="115" t="str">
        <f t="shared" ref="D220:D283" si="17">IF(ISERROR(A220),"",MIN(ROUND(F219+C220,2),ROUND(FV($G$12,IF(type=1,A220,A219),,-$D$18),2)))</f>
        <v/>
      </c>
      <c r="E220" s="115"/>
      <c r="F220" s="115" t="str">
        <f t="shared" si="14"/>
        <v/>
      </c>
      <c r="H220"/>
    </row>
    <row r="221" spans="1:8">
      <c r="A221" s="113" t="e">
        <f t="shared" ref="A221:A284" si="18">IF(OR(F220="",F220&lt;=0),NA(),A220+1)</f>
        <v>#N/A</v>
      </c>
      <c r="B221" s="114" t="str">
        <f t="shared" si="15"/>
        <v/>
      </c>
      <c r="C221" s="115" t="str">
        <f t="shared" si="16"/>
        <v/>
      </c>
      <c r="D221" s="115" t="str">
        <f t="shared" si="17"/>
        <v/>
      </c>
      <c r="E221" s="115"/>
      <c r="F221" s="115" t="str">
        <f t="shared" ref="F221:F284" si="19">IF(ISERROR(A221),"",ROUND(F220-D221-E221+C221,2))</f>
        <v/>
      </c>
      <c r="H221"/>
    </row>
    <row r="222" spans="1:8">
      <c r="A222" s="113" t="e">
        <f t="shared" si="18"/>
        <v>#N/A</v>
      </c>
      <c r="B222" s="114" t="str">
        <f t="shared" si="15"/>
        <v/>
      </c>
      <c r="C222" s="115" t="str">
        <f t="shared" si="16"/>
        <v/>
      </c>
      <c r="D222" s="115" t="str">
        <f t="shared" si="17"/>
        <v/>
      </c>
      <c r="E222" s="115"/>
      <c r="F222" s="115" t="str">
        <f t="shared" si="19"/>
        <v/>
      </c>
      <c r="H222"/>
    </row>
    <row r="223" spans="1:8">
      <c r="A223" s="113" t="e">
        <f t="shared" si="18"/>
        <v>#N/A</v>
      </c>
      <c r="B223" s="114" t="str">
        <f t="shared" si="15"/>
        <v/>
      </c>
      <c r="C223" s="115" t="str">
        <f t="shared" si="16"/>
        <v/>
      </c>
      <c r="D223" s="115" t="str">
        <f t="shared" si="17"/>
        <v/>
      </c>
      <c r="E223" s="115"/>
      <c r="F223" s="115" t="str">
        <f t="shared" si="19"/>
        <v/>
      </c>
      <c r="H223"/>
    </row>
    <row r="224" spans="1:8">
      <c r="A224" s="113" t="e">
        <f t="shared" si="18"/>
        <v>#N/A</v>
      </c>
      <c r="B224" s="114" t="str">
        <f t="shared" si="15"/>
        <v/>
      </c>
      <c r="C224" s="115" t="str">
        <f t="shared" si="16"/>
        <v/>
      </c>
      <c r="D224" s="115" t="str">
        <f t="shared" si="17"/>
        <v/>
      </c>
      <c r="E224" s="115"/>
      <c r="F224" s="115" t="str">
        <f t="shared" si="19"/>
        <v/>
      </c>
      <c r="H224"/>
    </row>
    <row r="225" spans="1:8">
      <c r="A225" s="113" t="e">
        <f t="shared" si="18"/>
        <v>#N/A</v>
      </c>
      <c r="B225" s="114" t="str">
        <f t="shared" si="15"/>
        <v/>
      </c>
      <c r="C225" s="115" t="str">
        <f t="shared" si="16"/>
        <v/>
      </c>
      <c r="D225" s="115" t="str">
        <f t="shared" si="17"/>
        <v/>
      </c>
      <c r="E225" s="115"/>
      <c r="F225" s="115" t="str">
        <f t="shared" si="19"/>
        <v/>
      </c>
      <c r="H225"/>
    </row>
    <row r="226" spans="1:8">
      <c r="A226" s="113" t="e">
        <f t="shared" si="18"/>
        <v>#N/A</v>
      </c>
      <c r="B226" s="114" t="str">
        <f t="shared" si="15"/>
        <v/>
      </c>
      <c r="C226" s="115" t="str">
        <f t="shared" si="16"/>
        <v/>
      </c>
      <c r="D226" s="115" t="str">
        <f t="shared" si="17"/>
        <v/>
      </c>
      <c r="E226" s="115"/>
      <c r="F226" s="115" t="str">
        <f t="shared" si="19"/>
        <v/>
      </c>
      <c r="H226"/>
    </row>
    <row r="227" spans="1:8">
      <c r="A227" s="113" t="e">
        <f t="shared" si="18"/>
        <v>#N/A</v>
      </c>
      <c r="B227" s="114" t="str">
        <f t="shared" si="15"/>
        <v/>
      </c>
      <c r="C227" s="115" t="str">
        <f t="shared" si="16"/>
        <v/>
      </c>
      <c r="D227" s="115" t="str">
        <f t="shared" si="17"/>
        <v/>
      </c>
      <c r="E227" s="115"/>
      <c r="F227" s="115" t="str">
        <f t="shared" si="19"/>
        <v/>
      </c>
      <c r="H227"/>
    </row>
    <row r="228" spans="1:8">
      <c r="A228" s="113" t="e">
        <f t="shared" si="18"/>
        <v>#N/A</v>
      </c>
      <c r="B228" s="114" t="str">
        <f t="shared" si="15"/>
        <v/>
      </c>
      <c r="C228" s="115" t="str">
        <f t="shared" si="16"/>
        <v/>
      </c>
      <c r="D228" s="115" t="str">
        <f t="shared" si="17"/>
        <v/>
      </c>
      <c r="E228" s="115"/>
      <c r="F228" s="115" t="str">
        <f t="shared" si="19"/>
        <v/>
      </c>
      <c r="H228"/>
    </row>
    <row r="229" spans="1:8">
      <c r="A229" s="113" t="e">
        <f t="shared" si="18"/>
        <v>#N/A</v>
      </c>
      <c r="B229" s="114" t="str">
        <f t="shared" si="15"/>
        <v/>
      </c>
      <c r="C229" s="115" t="str">
        <f t="shared" si="16"/>
        <v/>
      </c>
      <c r="D229" s="115" t="str">
        <f t="shared" si="17"/>
        <v/>
      </c>
      <c r="E229" s="115"/>
      <c r="F229" s="115" t="str">
        <f t="shared" si="19"/>
        <v/>
      </c>
      <c r="H229"/>
    </row>
    <row r="230" spans="1:8">
      <c r="A230" s="113" t="e">
        <f t="shared" si="18"/>
        <v>#N/A</v>
      </c>
      <c r="B230" s="114" t="str">
        <f t="shared" si="15"/>
        <v/>
      </c>
      <c r="C230" s="115" t="str">
        <f t="shared" si="16"/>
        <v/>
      </c>
      <c r="D230" s="115" t="str">
        <f t="shared" si="17"/>
        <v/>
      </c>
      <c r="E230" s="115"/>
      <c r="F230" s="115" t="str">
        <f t="shared" si="19"/>
        <v/>
      </c>
      <c r="H230"/>
    </row>
    <row r="231" spans="1:8">
      <c r="A231" s="113" t="e">
        <f t="shared" si="18"/>
        <v>#N/A</v>
      </c>
      <c r="B231" s="114" t="str">
        <f t="shared" si="15"/>
        <v/>
      </c>
      <c r="C231" s="115" t="str">
        <f t="shared" si="16"/>
        <v/>
      </c>
      <c r="D231" s="115" t="str">
        <f t="shared" si="17"/>
        <v/>
      </c>
      <c r="E231" s="115"/>
      <c r="F231" s="115" t="str">
        <f t="shared" si="19"/>
        <v/>
      </c>
      <c r="H231"/>
    </row>
    <row r="232" spans="1:8">
      <c r="A232" s="113" t="e">
        <f t="shared" si="18"/>
        <v>#N/A</v>
      </c>
      <c r="B232" s="114" t="str">
        <f t="shared" si="15"/>
        <v/>
      </c>
      <c r="C232" s="115" t="str">
        <f t="shared" si="16"/>
        <v/>
      </c>
      <c r="D232" s="115" t="str">
        <f t="shared" si="17"/>
        <v/>
      </c>
      <c r="E232" s="115"/>
      <c r="F232" s="115" t="str">
        <f t="shared" si="19"/>
        <v/>
      </c>
      <c r="H232"/>
    </row>
    <row r="233" spans="1:8">
      <c r="A233" s="113" t="e">
        <f t="shared" si="18"/>
        <v>#N/A</v>
      </c>
      <c r="B233" s="114" t="str">
        <f t="shared" si="15"/>
        <v/>
      </c>
      <c r="C233" s="115" t="str">
        <f t="shared" si="16"/>
        <v/>
      </c>
      <c r="D233" s="115" t="str">
        <f t="shared" si="17"/>
        <v/>
      </c>
      <c r="E233" s="115"/>
      <c r="F233" s="115" t="str">
        <f t="shared" si="19"/>
        <v/>
      </c>
      <c r="H233"/>
    </row>
    <row r="234" spans="1:8">
      <c r="A234" s="113" t="e">
        <f t="shared" si="18"/>
        <v>#N/A</v>
      </c>
      <c r="B234" s="114" t="str">
        <f t="shared" si="15"/>
        <v/>
      </c>
      <c r="C234" s="115" t="str">
        <f t="shared" si="16"/>
        <v/>
      </c>
      <c r="D234" s="115" t="str">
        <f t="shared" si="17"/>
        <v/>
      </c>
      <c r="E234" s="115"/>
      <c r="F234" s="115" t="str">
        <f t="shared" si="19"/>
        <v/>
      </c>
      <c r="H234"/>
    </row>
    <row r="235" spans="1:8">
      <c r="A235" s="113" t="e">
        <f t="shared" si="18"/>
        <v>#N/A</v>
      </c>
      <c r="B235" s="114" t="str">
        <f t="shared" si="15"/>
        <v/>
      </c>
      <c r="C235" s="115" t="str">
        <f t="shared" si="16"/>
        <v/>
      </c>
      <c r="D235" s="115" t="str">
        <f t="shared" si="17"/>
        <v/>
      </c>
      <c r="E235" s="115"/>
      <c r="F235" s="115" t="str">
        <f t="shared" si="19"/>
        <v/>
      </c>
      <c r="H235"/>
    </row>
    <row r="236" spans="1:8">
      <c r="A236" s="113" t="e">
        <f t="shared" si="18"/>
        <v>#N/A</v>
      </c>
      <c r="B236" s="114" t="str">
        <f t="shared" si="15"/>
        <v/>
      </c>
      <c r="C236" s="115" t="str">
        <f t="shared" si="16"/>
        <v/>
      </c>
      <c r="D236" s="115" t="str">
        <f t="shared" si="17"/>
        <v/>
      </c>
      <c r="E236" s="115"/>
      <c r="F236" s="115" t="str">
        <f t="shared" si="19"/>
        <v/>
      </c>
      <c r="H236"/>
    </row>
    <row r="237" spans="1:8">
      <c r="A237" s="113" t="e">
        <f t="shared" si="18"/>
        <v>#N/A</v>
      </c>
      <c r="B237" s="114" t="str">
        <f t="shared" si="15"/>
        <v/>
      </c>
      <c r="C237" s="115" t="str">
        <f t="shared" si="16"/>
        <v/>
      </c>
      <c r="D237" s="115" t="str">
        <f t="shared" si="17"/>
        <v/>
      </c>
      <c r="E237" s="115"/>
      <c r="F237" s="115" t="str">
        <f t="shared" si="19"/>
        <v/>
      </c>
      <c r="H237"/>
    </row>
    <row r="238" spans="1:8">
      <c r="A238" s="113" t="e">
        <f t="shared" si="18"/>
        <v>#N/A</v>
      </c>
      <c r="B238" s="114" t="str">
        <f t="shared" si="15"/>
        <v/>
      </c>
      <c r="C238" s="115" t="str">
        <f t="shared" si="16"/>
        <v/>
      </c>
      <c r="D238" s="115" t="str">
        <f t="shared" si="17"/>
        <v/>
      </c>
      <c r="E238" s="115"/>
      <c r="F238" s="115" t="str">
        <f t="shared" si="19"/>
        <v/>
      </c>
      <c r="H238"/>
    </row>
    <row r="239" spans="1:8">
      <c r="A239" s="113" t="e">
        <f t="shared" si="18"/>
        <v>#N/A</v>
      </c>
      <c r="B239" s="114" t="str">
        <f t="shared" si="15"/>
        <v/>
      </c>
      <c r="C239" s="115" t="str">
        <f t="shared" si="16"/>
        <v/>
      </c>
      <c r="D239" s="115" t="str">
        <f t="shared" si="17"/>
        <v/>
      </c>
      <c r="E239" s="115"/>
      <c r="F239" s="115" t="str">
        <f t="shared" si="19"/>
        <v/>
      </c>
      <c r="H239"/>
    </row>
    <row r="240" spans="1:8">
      <c r="A240" s="113" t="e">
        <f t="shared" si="18"/>
        <v>#N/A</v>
      </c>
      <c r="B240" s="114" t="str">
        <f t="shared" si="15"/>
        <v/>
      </c>
      <c r="C240" s="115" t="str">
        <f t="shared" si="16"/>
        <v/>
      </c>
      <c r="D240" s="115" t="str">
        <f t="shared" si="17"/>
        <v/>
      </c>
      <c r="E240" s="115"/>
      <c r="F240" s="115" t="str">
        <f t="shared" si="19"/>
        <v/>
      </c>
      <c r="H240"/>
    </row>
    <row r="241" spans="1:8">
      <c r="A241" s="113" t="e">
        <f t="shared" si="18"/>
        <v>#N/A</v>
      </c>
      <c r="B241" s="114" t="str">
        <f t="shared" si="15"/>
        <v/>
      </c>
      <c r="C241" s="115" t="str">
        <f t="shared" si="16"/>
        <v/>
      </c>
      <c r="D241" s="115" t="str">
        <f t="shared" si="17"/>
        <v/>
      </c>
      <c r="E241" s="115"/>
      <c r="F241" s="115" t="str">
        <f t="shared" si="19"/>
        <v/>
      </c>
      <c r="H241"/>
    </row>
    <row r="242" spans="1:8">
      <c r="A242" s="113" t="e">
        <f t="shared" si="18"/>
        <v>#N/A</v>
      </c>
      <c r="B242" s="114" t="str">
        <f t="shared" si="15"/>
        <v/>
      </c>
      <c r="C242" s="115" t="str">
        <f t="shared" si="16"/>
        <v/>
      </c>
      <c r="D242" s="115" t="str">
        <f t="shared" si="17"/>
        <v/>
      </c>
      <c r="E242" s="115"/>
      <c r="F242" s="115" t="str">
        <f t="shared" si="19"/>
        <v/>
      </c>
      <c r="H242"/>
    </row>
    <row r="243" spans="1:8">
      <c r="A243" s="113" t="e">
        <f t="shared" si="18"/>
        <v>#N/A</v>
      </c>
      <c r="B243" s="114" t="str">
        <f t="shared" si="15"/>
        <v/>
      </c>
      <c r="C243" s="115" t="str">
        <f t="shared" si="16"/>
        <v/>
      </c>
      <c r="D243" s="115" t="str">
        <f t="shared" si="17"/>
        <v/>
      </c>
      <c r="E243" s="115"/>
      <c r="F243" s="115" t="str">
        <f t="shared" si="19"/>
        <v/>
      </c>
      <c r="H243"/>
    </row>
    <row r="244" spans="1:8">
      <c r="A244" s="113" t="e">
        <f t="shared" si="18"/>
        <v>#N/A</v>
      </c>
      <c r="B244" s="114" t="str">
        <f t="shared" si="15"/>
        <v/>
      </c>
      <c r="C244" s="115" t="str">
        <f t="shared" si="16"/>
        <v/>
      </c>
      <c r="D244" s="115" t="str">
        <f t="shared" si="17"/>
        <v/>
      </c>
      <c r="E244" s="115"/>
      <c r="F244" s="115" t="str">
        <f t="shared" si="19"/>
        <v/>
      </c>
      <c r="H244"/>
    </row>
    <row r="245" spans="1:8">
      <c r="A245" s="113" t="e">
        <f t="shared" si="18"/>
        <v>#N/A</v>
      </c>
      <c r="B245" s="114" t="str">
        <f t="shared" si="15"/>
        <v/>
      </c>
      <c r="C245" s="115" t="str">
        <f t="shared" si="16"/>
        <v/>
      </c>
      <c r="D245" s="115" t="str">
        <f t="shared" si="17"/>
        <v/>
      </c>
      <c r="E245" s="115"/>
      <c r="F245" s="115" t="str">
        <f t="shared" si="19"/>
        <v/>
      </c>
      <c r="H245"/>
    </row>
    <row r="246" spans="1:8">
      <c r="A246" s="113" t="e">
        <f t="shared" si="18"/>
        <v>#N/A</v>
      </c>
      <c r="B246" s="114" t="str">
        <f t="shared" si="15"/>
        <v/>
      </c>
      <c r="C246" s="115" t="str">
        <f t="shared" si="16"/>
        <v/>
      </c>
      <c r="D246" s="115" t="str">
        <f t="shared" si="17"/>
        <v/>
      </c>
      <c r="E246" s="115"/>
      <c r="F246" s="115" t="str">
        <f t="shared" si="19"/>
        <v/>
      </c>
      <c r="H246"/>
    </row>
    <row r="247" spans="1:8">
      <c r="A247" s="113" t="e">
        <f t="shared" si="18"/>
        <v>#N/A</v>
      </c>
      <c r="B247" s="114" t="str">
        <f t="shared" si="15"/>
        <v/>
      </c>
      <c r="C247" s="115" t="str">
        <f t="shared" si="16"/>
        <v/>
      </c>
      <c r="D247" s="115" t="str">
        <f t="shared" si="17"/>
        <v/>
      </c>
      <c r="E247" s="115"/>
      <c r="F247" s="115" t="str">
        <f t="shared" si="19"/>
        <v/>
      </c>
      <c r="H247"/>
    </row>
    <row r="248" spans="1:8">
      <c r="A248" s="113" t="e">
        <f t="shared" si="18"/>
        <v>#N/A</v>
      </c>
      <c r="B248" s="114" t="str">
        <f t="shared" si="15"/>
        <v/>
      </c>
      <c r="C248" s="115" t="str">
        <f t="shared" si="16"/>
        <v/>
      </c>
      <c r="D248" s="115" t="str">
        <f t="shared" si="17"/>
        <v/>
      </c>
      <c r="E248" s="115"/>
      <c r="F248" s="115" t="str">
        <f t="shared" si="19"/>
        <v/>
      </c>
      <c r="H248"/>
    </row>
    <row r="249" spans="1:8">
      <c r="A249" s="113" t="e">
        <f t="shared" si="18"/>
        <v>#N/A</v>
      </c>
      <c r="B249" s="114" t="str">
        <f t="shared" si="15"/>
        <v/>
      </c>
      <c r="C249" s="115" t="str">
        <f t="shared" si="16"/>
        <v/>
      </c>
      <c r="D249" s="115" t="str">
        <f t="shared" si="17"/>
        <v/>
      </c>
      <c r="E249" s="115"/>
      <c r="F249" s="115" t="str">
        <f t="shared" si="19"/>
        <v/>
      </c>
      <c r="H249"/>
    </row>
    <row r="250" spans="1:8">
      <c r="A250" s="113" t="e">
        <f t="shared" si="18"/>
        <v>#N/A</v>
      </c>
      <c r="B250" s="114" t="str">
        <f t="shared" si="15"/>
        <v/>
      </c>
      <c r="C250" s="115" t="str">
        <f t="shared" si="16"/>
        <v/>
      </c>
      <c r="D250" s="115" t="str">
        <f t="shared" si="17"/>
        <v/>
      </c>
      <c r="E250" s="115"/>
      <c r="F250" s="115" t="str">
        <f t="shared" si="19"/>
        <v/>
      </c>
      <c r="H250"/>
    </row>
    <row r="251" spans="1:8">
      <c r="A251" s="113" t="e">
        <f t="shared" si="18"/>
        <v>#N/A</v>
      </c>
      <c r="B251" s="114" t="str">
        <f t="shared" si="15"/>
        <v/>
      </c>
      <c r="C251" s="115" t="str">
        <f t="shared" si="16"/>
        <v/>
      </c>
      <c r="D251" s="115" t="str">
        <f t="shared" si="17"/>
        <v/>
      </c>
      <c r="E251" s="115"/>
      <c r="F251" s="115" t="str">
        <f t="shared" si="19"/>
        <v/>
      </c>
      <c r="H251"/>
    </row>
    <row r="252" spans="1:8">
      <c r="A252" s="113" t="e">
        <f t="shared" si="18"/>
        <v>#N/A</v>
      </c>
      <c r="B252" s="114" t="str">
        <f t="shared" si="15"/>
        <v/>
      </c>
      <c r="C252" s="115" t="str">
        <f t="shared" si="16"/>
        <v/>
      </c>
      <c r="D252" s="115" t="str">
        <f t="shared" si="17"/>
        <v/>
      </c>
      <c r="E252" s="115"/>
      <c r="F252" s="115" t="str">
        <f t="shared" si="19"/>
        <v/>
      </c>
      <c r="H252"/>
    </row>
    <row r="253" spans="1:8">
      <c r="A253" s="113" t="e">
        <f t="shared" si="18"/>
        <v>#N/A</v>
      </c>
      <c r="B253" s="114" t="str">
        <f t="shared" si="15"/>
        <v/>
      </c>
      <c r="C253" s="115" t="str">
        <f t="shared" si="16"/>
        <v/>
      </c>
      <c r="D253" s="115" t="str">
        <f t="shared" si="17"/>
        <v/>
      </c>
      <c r="E253" s="115"/>
      <c r="F253" s="115" t="str">
        <f t="shared" si="19"/>
        <v/>
      </c>
      <c r="H253"/>
    </row>
    <row r="254" spans="1:8">
      <c r="A254" s="113" t="e">
        <f t="shared" si="18"/>
        <v>#N/A</v>
      </c>
      <c r="B254" s="114" t="str">
        <f t="shared" si="15"/>
        <v/>
      </c>
      <c r="C254" s="115" t="str">
        <f t="shared" si="16"/>
        <v/>
      </c>
      <c r="D254" s="115" t="str">
        <f t="shared" si="17"/>
        <v/>
      </c>
      <c r="E254" s="115"/>
      <c r="F254" s="115" t="str">
        <f t="shared" si="19"/>
        <v/>
      </c>
      <c r="H254"/>
    </row>
    <row r="255" spans="1:8">
      <c r="A255" s="113" t="e">
        <f t="shared" si="18"/>
        <v>#N/A</v>
      </c>
      <c r="B255" s="114" t="str">
        <f t="shared" si="15"/>
        <v/>
      </c>
      <c r="C255" s="115" t="str">
        <f t="shared" si="16"/>
        <v/>
      </c>
      <c r="D255" s="115" t="str">
        <f t="shared" si="17"/>
        <v/>
      </c>
      <c r="E255" s="115"/>
      <c r="F255" s="115" t="str">
        <f t="shared" si="19"/>
        <v/>
      </c>
      <c r="H255"/>
    </row>
    <row r="256" spans="1:8">
      <c r="A256" s="113" t="e">
        <f t="shared" si="18"/>
        <v>#N/A</v>
      </c>
      <c r="B256" s="114" t="str">
        <f t="shared" si="15"/>
        <v/>
      </c>
      <c r="C256" s="115" t="str">
        <f t="shared" si="16"/>
        <v/>
      </c>
      <c r="D256" s="115" t="str">
        <f t="shared" si="17"/>
        <v/>
      </c>
      <c r="E256" s="115"/>
      <c r="F256" s="115" t="str">
        <f t="shared" si="19"/>
        <v/>
      </c>
      <c r="H256"/>
    </row>
    <row r="257" spans="1:8">
      <c r="A257" s="113" t="e">
        <f t="shared" si="18"/>
        <v>#N/A</v>
      </c>
      <c r="B257" s="114" t="str">
        <f t="shared" si="15"/>
        <v/>
      </c>
      <c r="C257" s="115" t="str">
        <f t="shared" si="16"/>
        <v/>
      </c>
      <c r="D257" s="115" t="str">
        <f t="shared" si="17"/>
        <v/>
      </c>
      <c r="E257" s="115"/>
      <c r="F257" s="115" t="str">
        <f t="shared" si="19"/>
        <v/>
      </c>
      <c r="H257"/>
    </row>
    <row r="258" spans="1:8">
      <c r="A258" s="113" t="e">
        <f t="shared" si="18"/>
        <v>#N/A</v>
      </c>
      <c r="B258" s="114" t="str">
        <f t="shared" si="15"/>
        <v/>
      </c>
      <c r="C258" s="115" t="str">
        <f t="shared" si="16"/>
        <v/>
      </c>
      <c r="D258" s="115" t="str">
        <f t="shared" si="17"/>
        <v/>
      </c>
      <c r="E258" s="115"/>
      <c r="F258" s="115" t="str">
        <f t="shared" si="19"/>
        <v/>
      </c>
      <c r="H258"/>
    </row>
    <row r="259" spans="1:8">
      <c r="A259" s="113" t="e">
        <f t="shared" si="18"/>
        <v>#N/A</v>
      </c>
      <c r="B259" s="114" t="str">
        <f t="shared" si="15"/>
        <v/>
      </c>
      <c r="C259" s="115" t="str">
        <f t="shared" si="16"/>
        <v/>
      </c>
      <c r="D259" s="115" t="str">
        <f t="shared" si="17"/>
        <v/>
      </c>
      <c r="E259" s="115"/>
      <c r="F259" s="115" t="str">
        <f t="shared" si="19"/>
        <v/>
      </c>
      <c r="H259"/>
    </row>
    <row r="260" spans="1:8">
      <c r="A260" s="113" t="e">
        <f t="shared" si="18"/>
        <v>#N/A</v>
      </c>
      <c r="B260" s="114" t="str">
        <f t="shared" si="15"/>
        <v/>
      </c>
      <c r="C260" s="115" t="str">
        <f t="shared" si="16"/>
        <v/>
      </c>
      <c r="D260" s="115" t="str">
        <f t="shared" si="17"/>
        <v/>
      </c>
      <c r="E260" s="115"/>
      <c r="F260" s="115" t="str">
        <f t="shared" si="19"/>
        <v/>
      </c>
      <c r="H260"/>
    </row>
    <row r="261" spans="1:8">
      <c r="A261" s="113" t="e">
        <f t="shared" si="18"/>
        <v>#N/A</v>
      </c>
      <c r="B261" s="114" t="str">
        <f t="shared" si="15"/>
        <v/>
      </c>
      <c r="C261" s="115" t="str">
        <f t="shared" si="16"/>
        <v/>
      </c>
      <c r="D261" s="115" t="str">
        <f t="shared" si="17"/>
        <v/>
      </c>
      <c r="E261" s="115"/>
      <c r="F261" s="115" t="str">
        <f t="shared" si="19"/>
        <v/>
      </c>
      <c r="H261"/>
    </row>
    <row r="262" spans="1:8">
      <c r="A262" s="113" t="e">
        <f t="shared" si="18"/>
        <v>#N/A</v>
      </c>
      <c r="B262" s="114" t="str">
        <f t="shared" si="15"/>
        <v/>
      </c>
      <c r="C262" s="115" t="str">
        <f t="shared" si="16"/>
        <v/>
      </c>
      <c r="D262" s="115" t="str">
        <f t="shared" si="17"/>
        <v/>
      </c>
      <c r="E262" s="115"/>
      <c r="F262" s="115" t="str">
        <f t="shared" si="19"/>
        <v/>
      </c>
      <c r="H262"/>
    </row>
    <row r="263" spans="1:8">
      <c r="A263" s="113" t="e">
        <f t="shared" si="18"/>
        <v>#N/A</v>
      </c>
      <c r="B263" s="114" t="str">
        <f t="shared" si="15"/>
        <v/>
      </c>
      <c r="C263" s="115" t="str">
        <f t="shared" si="16"/>
        <v/>
      </c>
      <c r="D263" s="115" t="str">
        <f t="shared" si="17"/>
        <v/>
      </c>
      <c r="E263" s="115"/>
      <c r="F263" s="115" t="str">
        <f t="shared" si="19"/>
        <v/>
      </c>
      <c r="H263"/>
    </row>
    <row r="264" spans="1:8">
      <c r="A264" s="113" t="e">
        <f t="shared" si="18"/>
        <v>#N/A</v>
      </c>
      <c r="B264" s="114" t="str">
        <f t="shared" si="15"/>
        <v/>
      </c>
      <c r="C264" s="115" t="str">
        <f t="shared" si="16"/>
        <v/>
      </c>
      <c r="D264" s="115" t="str">
        <f t="shared" si="17"/>
        <v/>
      </c>
      <c r="E264" s="115"/>
      <c r="F264" s="115" t="str">
        <f t="shared" si="19"/>
        <v/>
      </c>
      <c r="H264"/>
    </row>
    <row r="265" spans="1:8">
      <c r="A265" s="113" t="e">
        <f t="shared" si="18"/>
        <v>#N/A</v>
      </c>
      <c r="B265" s="114" t="str">
        <f t="shared" si="15"/>
        <v/>
      </c>
      <c r="C265" s="115" t="str">
        <f t="shared" si="16"/>
        <v/>
      </c>
      <c r="D265" s="115" t="str">
        <f t="shared" si="17"/>
        <v/>
      </c>
      <c r="E265" s="115"/>
      <c r="F265" s="115" t="str">
        <f t="shared" si="19"/>
        <v/>
      </c>
      <c r="H265"/>
    </row>
    <row r="266" spans="1:8">
      <c r="A266" s="113" t="e">
        <f t="shared" si="18"/>
        <v>#N/A</v>
      </c>
      <c r="B266" s="114" t="str">
        <f t="shared" si="15"/>
        <v/>
      </c>
      <c r="C266" s="115" t="str">
        <f t="shared" si="16"/>
        <v/>
      </c>
      <c r="D266" s="115" t="str">
        <f t="shared" si="17"/>
        <v/>
      </c>
      <c r="E266" s="115"/>
      <c r="F266" s="115" t="str">
        <f t="shared" si="19"/>
        <v/>
      </c>
      <c r="H266"/>
    </row>
    <row r="267" spans="1:8">
      <c r="A267" s="113" t="e">
        <f t="shared" si="18"/>
        <v>#N/A</v>
      </c>
      <c r="B267" s="114" t="str">
        <f t="shared" si="15"/>
        <v/>
      </c>
      <c r="C267" s="115" t="str">
        <f t="shared" si="16"/>
        <v/>
      </c>
      <c r="D267" s="115" t="str">
        <f t="shared" si="17"/>
        <v/>
      </c>
      <c r="E267" s="115"/>
      <c r="F267" s="115" t="str">
        <f t="shared" si="19"/>
        <v/>
      </c>
      <c r="H267"/>
    </row>
    <row r="268" spans="1:8">
      <c r="A268" s="113" t="e">
        <f t="shared" si="18"/>
        <v>#N/A</v>
      </c>
      <c r="B268" s="114" t="str">
        <f t="shared" si="15"/>
        <v/>
      </c>
      <c r="C268" s="115" t="str">
        <f t="shared" si="16"/>
        <v/>
      </c>
      <c r="D268" s="115" t="str">
        <f t="shared" si="17"/>
        <v/>
      </c>
      <c r="E268" s="115"/>
      <c r="F268" s="115" t="str">
        <f t="shared" si="19"/>
        <v/>
      </c>
      <c r="H268"/>
    </row>
    <row r="269" spans="1:8">
      <c r="A269" s="113" t="e">
        <f t="shared" si="18"/>
        <v>#N/A</v>
      </c>
      <c r="B269" s="114" t="str">
        <f t="shared" si="15"/>
        <v/>
      </c>
      <c r="C269" s="115" t="str">
        <f t="shared" si="16"/>
        <v/>
      </c>
      <c r="D269" s="115" t="str">
        <f t="shared" si="17"/>
        <v/>
      </c>
      <c r="E269" s="115"/>
      <c r="F269" s="115" t="str">
        <f t="shared" si="19"/>
        <v/>
      </c>
      <c r="H269"/>
    </row>
    <row r="270" spans="1:8">
      <c r="A270" s="113" t="e">
        <f t="shared" si="18"/>
        <v>#N/A</v>
      </c>
      <c r="B270" s="114" t="str">
        <f t="shared" si="15"/>
        <v/>
      </c>
      <c r="C270" s="115" t="str">
        <f t="shared" si="16"/>
        <v/>
      </c>
      <c r="D270" s="115" t="str">
        <f t="shared" si="17"/>
        <v/>
      </c>
      <c r="E270" s="115"/>
      <c r="F270" s="115" t="str">
        <f t="shared" si="19"/>
        <v/>
      </c>
      <c r="H270"/>
    </row>
    <row r="271" spans="1:8">
      <c r="A271" s="113" t="e">
        <f t="shared" si="18"/>
        <v>#N/A</v>
      </c>
      <c r="B271" s="114" t="str">
        <f t="shared" si="15"/>
        <v/>
      </c>
      <c r="C271" s="115" t="str">
        <f t="shared" si="16"/>
        <v/>
      </c>
      <c r="D271" s="115" t="str">
        <f t="shared" si="17"/>
        <v/>
      </c>
      <c r="E271" s="115"/>
      <c r="F271" s="115" t="str">
        <f t="shared" si="19"/>
        <v/>
      </c>
      <c r="H271"/>
    </row>
    <row r="272" spans="1:8">
      <c r="A272" s="113" t="e">
        <f t="shared" si="18"/>
        <v>#N/A</v>
      </c>
      <c r="B272" s="114" t="str">
        <f t="shared" si="15"/>
        <v/>
      </c>
      <c r="C272" s="115" t="str">
        <f t="shared" si="16"/>
        <v/>
      </c>
      <c r="D272" s="115" t="str">
        <f t="shared" si="17"/>
        <v/>
      </c>
      <c r="E272" s="115"/>
      <c r="F272" s="115" t="str">
        <f t="shared" si="19"/>
        <v/>
      </c>
      <c r="H272"/>
    </row>
    <row r="273" spans="1:8">
      <c r="A273" s="113" t="e">
        <f t="shared" si="18"/>
        <v>#N/A</v>
      </c>
      <c r="B273" s="114" t="str">
        <f t="shared" si="15"/>
        <v/>
      </c>
      <c r="C273" s="115" t="str">
        <f t="shared" si="16"/>
        <v/>
      </c>
      <c r="D273" s="115" t="str">
        <f t="shared" si="17"/>
        <v/>
      </c>
      <c r="E273" s="115"/>
      <c r="F273" s="115" t="str">
        <f t="shared" si="19"/>
        <v/>
      </c>
      <c r="H273"/>
    </row>
    <row r="274" spans="1:8">
      <c r="A274" s="113" t="e">
        <f t="shared" si="18"/>
        <v>#N/A</v>
      </c>
      <c r="B274" s="114" t="str">
        <f t="shared" si="15"/>
        <v/>
      </c>
      <c r="C274" s="115" t="str">
        <f t="shared" si="16"/>
        <v/>
      </c>
      <c r="D274" s="115" t="str">
        <f t="shared" si="17"/>
        <v/>
      </c>
      <c r="E274" s="115"/>
      <c r="F274" s="115" t="str">
        <f t="shared" si="19"/>
        <v/>
      </c>
      <c r="H274"/>
    </row>
    <row r="275" spans="1:8">
      <c r="A275" s="113" t="e">
        <f t="shared" si="18"/>
        <v>#N/A</v>
      </c>
      <c r="B275" s="114" t="str">
        <f t="shared" si="15"/>
        <v/>
      </c>
      <c r="C275" s="115" t="str">
        <f t="shared" si="16"/>
        <v/>
      </c>
      <c r="D275" s="115" t="str">
        <f t="shared" si="17"/>
        <v/>
      </c>
      <c r="E275" s="115"/>
      <c r="F275" s="115" t="str">
        <f t="shared" si="19"/>
        <v/>
      </c>
      <c r="H275"/>
    </row>
    <row r="276" spans="1:8">
      <c r="A276" s="113" t="e">
        <f t="shared" si="18"/>
        <v>#N/A</v>
      </c>
      <c r="B276" s="114" t="str">
        <f t="shared" si="15"/>
        <v/>
      </c>
      <c r="C276" s="115" t="str">
        <f t="shared" si="16"/>
        <v/>
      </c>
      <c r="D276" s="115" t="str">
        <f t="shared" si="17"/>
        <v/>
      </c>
      <c r="E276" s="115"/>
      <c r="F276" s="115" t="str">
        <f t="shared" si="19"/>
        <v/>
      </c>
      <c r="H276"/>
    </row>
    <row r="277" spans="1:8">
      <c r="A277" s="113" t="e">
        <f t="shared" si="18"/>
        <v>#N/A</v>
      </c>
      <c r="B277" s="114" t="str">
        <f t="shared" si="15"/>
        <v/>
      </c>
      <c r="C277" s="115" t="str">
        <f t="shared" si="16"/>
        <v/>
      </c>
      <c r="D277" s="115" t="str">
        <f t="shared" si="17"/>
        <v/>
      </c>
      <c r="E277" s="115"/>
      <c r="F277" s="115" t="str">
        <f t="shared" si="19"/>
        <v/>
      </c>
      <c r="H277"/>
    </row>
    <row r="278" spans="1:8">
      <c r="A278" s="113" t="e">
        <f t="shared" si="18"/>
        <v>#N/A</v>
      </c>
      <c r="B278" s="114" t="str">
        <f t="shared" si="15"/>
        <v/>
      </c>
      <c r="C278" s="115" t="str">
        <f t="shared" si="16"/>
        <v/>
      </c>
      <c r="D278" s="115" t="str">
        <f t="shared" si="17"/>
        <v/>
      </c>
      <c r="E278" s="115"/>
      <c r="F278" s="115" t="str">
        <f t="shared" si="19"/>
        <v/>
      </c>
      <c r="H278"/>
    </row>
    <row r="279" spans="1:8">
      <c r="A279" s="113" t="e">
        <f t="shared" si="18"/>
        <v>#N/A</v>
      </c>
      <c r="B279" s="114" t="str">
        <f t="shared" si="15"/>
        <v/>
      </c>
      <c r="C279" s="115" t="str">
        <f t="shared" si="16"/>
        <v/>
      </c>
      <c r="D279" s="115" t="str">
        <f t="shared" si="17"/>
        <v/>
      </c>
      <c r="E279" s="115"/>
      <c r="F279" s="115" t="str">
        <f t="shared" si="19"/>
        <v/>
      </c>
      <c r="H279"/>
    </row>
    <row r="280" spans="1:8">
      <c r="A280" s="113" t="e">
        <f t="shared" si="18"/>
        <v>#N/A</v>
      </c>
      <c r="B280" s="114" t="str">
        <f t="shared" si="15"/>
        <v/>
      </c>
      <c r="C280" s="115" t="str">
        <f t="shared" si="16"/>
        <v/>
      </c>
      <c r="D280" s="115" t="str">
        <f t="shared" si="17"/>
        <v/>
      </c>
      <c r="E280" s="115"/>
      <c r="F280" s="115" t="str">
        <f t="shared" si="19"/>
        <v/>
      </c>
      <c r="H280"/>
    </row>
    <row r="281" spans="1:8">
      <c r="A281" s="113" t="e">
        <f t="shared" si="18"/>
        <v>#N/A</v>
      </c>
      <c r="B281" s="114" t="str">
        <f t="shared" si="15"/>
        <v/>
      </c>
      <c r="C281" s="115" t="str">
        <f t="shared" si="16"/>
        <v/>
      </c>
      <c r="D281" s="115" t="str">
        <f t="shared" si="17"/>
        <v/>
      </c>
      <c r="E281" s="115"/>
      <c r="F281" s="115" t="str">
        <f t="shared" si="19"/>
        <v/>
      </c>
      <c r="H281"/>
    </row>
    <row r="282" spans="1:8">
      <c r="A282" s="113" t="e">
        <f t="shared" si="18"/>
        <v>#N/A</v>
      </c>
      <c r="B282" s="114" t="str">
        <f t="shared" si="15"/>
        <v/>
      </c>
      <c r="C282" s="115" t="str">
        <f t="shared" si="16"/>
        <v/>
      </c>
      <c r="D282" s="115" t="str">
        <f t="shared" si="17"/>
        <v/>
      </c>
      <c r="E282" s="115"/>
      <c r="F282" s="115" t="str">
        <f t="shared" si="19"/>
        <v/>
      </c>
      <c r="H282"/>
    </row>
    <row r="283" spans="1:8">
      <c r="A283" s="113" t="e">
        <f t="shared" si="18"/>
        <v>#N/A</v>
      </c>
      <c r="B283" s="114" t="str">
        <f t="shared" si="15"/>
        <v/>
      </c>
      <c r="C283" s="115" t="str">
        <f t="shared" si="16"/>
        <v/>
      </c>
      <c r="D283" s="115" t="str">
        <f t="shared" si="17"/>
        <v/>
      </c>
      <c r="E283" s="115"/>
      <c r="F283" s="115" t="str">
        <f t="shared" si="19"/>
        <v/>
      </c>
      <c r="H283"/>
    </row>
    <row r="284" spans="1:8">
      <c r="A284" s="113" t="e">
        <f t="shared" si="18"/>
        <v>#N/A</v>
      </c>
      <c r="B284" s="114" t="str">
        <f t="shared" ref="B284:B347" si="20">IF(ISERROR(A284),"",IF($D$9="Annually",EDATE(B283,12),EDATE(B283,1)))</f>
        <v/>
      </c>
      <c r="C284" s="115" t="str">
        <f t="shared" ref="C284:C347" si="21">IF(ISERROR(A284),"",ROUND(F283*rper,2))</f>
        <v/>
      </c>
      <c r="D284" s="115" t="str">
        <f t="shared" ref="D284:D347" si="22">IF(ISERROR(A284),"",MIN(ROUND(F283+C284,2),ROUND(FV($G$12,IF(type=1,A284,A283),,-$D$18),2)))</f>
        <v/>
      </c>
      <c r="E284" s="115"/>
      <c r="F284" s="115" t="str">
        <f t="shared" si="19"/>
        <v/>
      </c>
      <c r="H284"/>
    </row>
    <row r="285" spans="1:8">
      <c r="A285" s="113" t="e">
        <f t="shared" ref="A285:A348" si="23">IF(OR(F284="",F284&lt;=0),NA(),A284+1)</f>
        <v>#N/A</v>
      </c>
      <c r="B285" s="114" t="str">
        <f t="shared" si="20"/>
        <v/>
      </c>
      <c r="C285" s="115" t="str">
        <f t="shared" si="21"/>
        <v/>
      </c>
      <c r="D285" s="115" t="str">
        <f t="shared" si="22"/>
        <v/>
      </c>
      <c r="E285" s="115"/>
      <c r="F285" s="115" t="str">
        <f t="shared" ref="F285:F348" si="24">IF(ISERROR(A285),"",ROUND(F284-D285-E285+C285,2))</f>
        <v/>
      </c>
      <c r="H285"/>
    </row>
    <row r="286" spans="1:8">
      <c r="A286" s="113" t="e">
        <f t="shared" si="23"/>
        <v>#N/A</v>
      </c>
      <c r="B286" s="114" t="str">
        <f t="shared" si="20"/>
        <v/>
      </c>
      <c r="C286" s="115" t="str">
        <f t="shared" si="21"/>
        <v/>
      </c>
      <c r="D286" s="115" t="str">
        <f t="shared" si="22"/>
        <v/>
      </c>
      <c r="E286" s="115"/>
      <c r="F286" s="115" t="str">
        <f t="shared" si="24"/>
        <v/>
      </c>
      <c r="H286"/>
    </row>
    <row r="287" spans="1:8">
      <c r="A287" s="113" t="e">
        <f t="shared" si="23"/>
        <v>#N/A</v>
      </c>
      <c r="B287" s="114" t="str">
        <f t="shared" si="20"/>
        <v/>
      </c>
      <c r="C287" s="115" t="str">
        <f t="shared" si="21"/>
        <v/>
      </c>
      <c r="D287" s="115" t="str">
        <f t="shared" si="22"/>
        <v/>
      </c>
      <c r="E287" s="115"/>
      <c r="F287" s="115" t="str">
        <f t="shared" si="24"/>
        <v/>
      </c>
      <c r="H287"/>
    </row>
    <row r="288" spans="1:8">
      <c r="A288" s="113" t="e">
        <f t="shared" si="23"/>
        <v>#N/A</v>
      </c>
      <c r="B288" s="114" t="str">
        <f t="shared" si="20"/>
        <v/>
      </c>
      <c r="C288" s="115" t="str">
        <f t="shared" si="21"/>
        <v/>
      </c>
      <c r="D288" s="115" t="str">
        <f t="shared" si="22"/>
        <v/>
      </c>
      <c r="E288" s="115"/>
      <c r="F288" s="115" t="str">
        <f t="shared" si="24"/>
        <v/>
      </c>
      <c r="H288"/>
    </row>
    <row r="289" spans="1:8">
      <c r="A289" s="113" t="e">
        <f t="shared" si="23"/>
        <v>#N/A</v>
      </c>
      <c r="B289" s="114" t="str">
        <f t="shared" si="20"/>
        <v/>
      </c>
      <c r="C289" s="115" t="str">
        <f t="shared" si="21"/>
        <v/>
      </c>
      <c r="D289" s="115" t="str">
        <f t="shared" si="22"/>
        <v/>
      </c>
      <c r="E289" s="115"/>
      <c r="F289" s="115" t="str">
        <f t="shared" si="24"/>
        <v/>
      </c>
      <c r="H289"/>
    </row>
    <row r="290" spans="1:8">
      <c r="A290" s="113" t="e">
        <f t="shared" si="23"/>
        <v>#N/A</v>
      </c>
      <c r="B290" s="114" t="str">
        <f t="shared" si="20"/>
        <v/>
      </c>
      <c r="C290" s="115" t="str">
        <f t="shared" si="21"/>
        <v/>
      </c>
      <c r="D290" s="115" t="str">
        <f t="shared" si="22"/>
        <v/>
      </c>
      <c r="E290" s="115"/>
      <c r="F290" s="115" t="str">
        <f t="shared" si="24"/>
        <v/>
      </c>
      <c r="H290"/>
    </row>
    <row r="291" spans="1:8">
      <c r="A291" s="113" t="e">
        <f t="shared" si="23"/>
        <v>#N/A</v>
      </c>
      <c r="B291" s="114" t="str">
        <f t="shared" si="20"/>
        <v/>
      </c>
      <c r="C291" s="115" t="str">
        <f t="shared" si="21"/>
        <v/>
      </c>
      <c r="D291" s="115" t="str">
        <f t="shared" si="22"/>
        <v/>
      </c>
      <c r="E291" s="115"/>
      <c r="F291" s="115" t="str">
        <f t="shared" si="24"/>
        <v/>
      </c>
      <c r="H291"/>
    </row>
    <row r="292" spans="1:8">
      <c r="A292" s="113" t="e">
        <f t="shared" si="23"/>
        <v>#N/A</v>
      </c>
      <c r="B292" s="114" t="str">
        <f t="shared" si="20"/>
        <v/>
      </c>
      <c r="C292" s="115" t="str">
        <f t="shared" si="21"/>
        <v/>
      </c>
      <c r="D292" s="115" t="str">
        <f t="shared" si="22"/>
        <v/>
      </c>
      <c r="E292" s="115"/>
      <c r="F292" s="115" t="str">
        <f t="shared" si="24"/>
        <v/>
      </c>
      <c r="H292"/>
    </row>
    <row r="293" spans="1:8">
      <c r="A293" s="113" t="e">
        <f t="shared" si="23"/>
        <v>#N/A</v>
      </c>
      <c r="B293" s="114" t="str">
        <f t="shared" si="20"/>
        <v/>
      </c>
      <c r="C293" s="115" t="str">
        <f t="shared" si="21"/>
        <v/>
      </c>
      <c r="D293" s="115" t="str">
        <f t="shared" si="22"/>
        <v/>
      </c>
      <c r="E293" s="115"/>
      <c r="F293" s="115" t="str">
        <f t="shared" si="24"/>
        <v/>
      </c>
      <c r="H293"/>
    </row>
    <row r="294" spans="1:8">
      <c r="A294" s="113" t="e">
        <f t="shared" si="23"/>
        <v>#N/A</v>
      </c>
      <c r="B294" s="114" t="str">
        <f t="shared" si="20"/>
        <v/>
      </c>
      <c r="C294" s="115" t="str">
        <f t="shared" si="21"/>
        <v/>
      </c>
      <c r="D294" s="115" t="str">
        <f t="shared" si="22"/>
        <v/>
      </c>
      <c r="E294" s="115"/>
      <c r="F294" s="115" t="str">
        <f t="shared" si="24"/>
        <v/>
      </c>
      <c r="H294"/>
    </row>
    <row r="295" spans="1:8">
      <c r="A295" s="113" t="e">
        <f t="shared" si="23"/>
        <v>#N/A</v>
      </c>
      <c r="B295" s="114" t="str">
        <f t="shared" si="20"/>
        <v/>
      </c>
      <c r="C295" s="115" t="str">
        <f t="shared" si="21"/>
        <v/>
      </c>
      <c r="D295" s="115" t="str">
        <f t="shared" si="22"/>
        <v/>
      </c>
      <c r="E295" s="115"/>
      <c r="F295" s="115" t="str">
        <f t="shared" si="24"/>
        <v/>
      </c>
      <c r="H295"/>
    </row>
    <row r="296" spans="1:8">
      <c r="A296" s="113" t="e">
        <f t="shared" si="23"/>
        <v>#N/A</v>
      </c>
      <c r="B296" s="114" t="str">
        <f t="shared" si="20"/>
        <v/>
      </c>
      <c r="C296" s="115" t="str">
        <f t="shared" si="21"/>
        <v/>
      </c>
      <c r="D296" s="115" t="str">
        <f t="shared" si="22"/>
        <v/>
      </c>
      <c r="E296" s="115"/>
      <c r="F296" s="115" t="str">
        <f t="shared" si="24"/>
        <v/>
      </c>
      <c r="H296"/>
    </row>
    <row r="297" spans="1:8">
      <c r="A297" s="113" t="e">
        <f t="shared" si="23"/>
        <v>#N/A</v>
      </c>
      <c r="B297" s="114" t="str">
        <f t="shared" si="20"/>
        <v/>
      </c>
      <c r="C297" s="115" t="str">
        <f t="shared" si="21"/>
        <v/>
      </c>
      <c r="D297" s="115" t="str">
        <f t="shared" si="22"/>
        <v/>
      </c>
      <c r="E297" s="115"/>
      <c r="F297" s="115" t="str">
        <f t="shared" si="24"/>
        <v/>
      </c>
      <c r="H297"/>
    </row>
    <row r="298" spans="1:8">
      <c r="A298" s="113" t="e">
        <f t="shared" si="23"/>
        <v>#N/A</v>
      </c>
      <c r="B298" s="114" t="str">
        <f t="shared" si="20"/>
        <v/>
      </c>
      <c r="C298" s="115" t="str">
        <f t="shared" si="21"/>
        <v/>
      </c>
      <c r="D298" s="115" t="str">
        <f t="shared" si="22"/>
        <v/>
      </c>
      <c r="E298" s="115"/>
      <c r="F298" s="115" t="str">
        <f t="shared" si="24"/>
        <v/>
      </c>
      <c r="H298"/>
    </row>
    <row r="299" spans="1:8">
      <c r="A299" s="113" t="e">
        <f t="shared" si="23"/>
        <v>#N/A</v>
      </c>
      <c r="B299" s="114" t="str">
        <f t="shared" si="20"/>
        <v/>
      </c>
      <c r="C299" s="115" t="str">
        <f t="shared" si="21"/>
        <v/>
      </c>
      <c r="D299" s="115" t="str">
        <f t="shared" si="22"/>
        <v/>
      </c>
      <c r="E299" s="115"/>
      <c r="F299" s="115" t="str">
        <f t="shared" si="24"/>
        <v/>
      </c>
      <c r="H299"/>
    </row>
    <row r="300" spans="1:8">
      <c r="A300" s="113" t="e">
        <f t="shared" si="23"/>
        <v>#N/A</v>
      </c>
      <c r="B300" s="114" t="str">
        <f t="shared" si="20"/>
        <v/>
      </c>
      <c r="C300" s="115" t="str">
        <f t="shared" si="21"/>
        <v/>
      </c>
      <c r="D300" s="115" t="str">
        <f t="shared" si="22"/>
        <v/>
      </c>
      <c r="E300" s="115"/>
      <c r="F300" s="115" t="str">
        <f t="shared" si="24"/>
        <v/>
      </c>
      <c r="H300"/>
    </row>
    <row r="301" spans="1:8">
      <c r="A301" s="113" t="e">
        <f t="shared" si="23"/>
        <v>#N/A</v>
      </c>
      <c r="B301" s="114" t="str">
        <f t="shared" si="20"/>
        <v/>
      </c>
      <c r="C301" s="115" t="str">
        <f t="shared" si="21"/>
        <v/>
      </c>
      <c r="D301" s="115" t="str">
        <f t="shared" si="22"/>
        <v/>
      </c>
      <c r="E301" s="115"/>
      <c r="F301" s="115" t="str">
        <f t="shared" si="24"/>
        <v/>
      </c>
      <c r="H301"/>
    </row>
    <row r="302" spans="1:8">
      <c r="A302" s="113" t="e">
        <f t="shared" si="23"/>
        <v>#N/A</v>
      </c>
      <c r="B302" s="114" t="str">
        <f t="shared" si="20"/>
        <v/>
      </c>
      <c r="C302" s="115" t="str">
        <f t="shared" si="21"/>
        <v/>
      </c>
      <c r="D302" s="115" t="str">
        <f t="shared" si="22"/>
        <v/>
      </c>
      <c r="E302" s="115"/>
      <c r="F302" s="115" t="str">
        <f t="shared" si="24"/>
        <v/>
      </c>
      <c r="H302"/>
    </row>
    <row r="303" spans="1:8">
      <c r="A303" s="113" t="e">
        <f t="shared" si="23"/>
        <v>#N/A</v>
      </c>
      <c r="B303" s="114" t="str">
        <f t="shared" si="20"/>
        <v/>
      </c>
      <c r="C303" s="115" t="str">
        <f t="shared" si="21"/>
        <v/>
      </c>
      <c r="D303" s="115" t="str">
        <f t="shared" si="22"/>
        <v/>
      </c>
      <c r="E303" s="115"/>
      <c r="F303" s="115" t="str">
        <f t="shared" si="24"/>
        <v/>
      </c>
      <c r="H303"/>
    </row>
    <row r="304" spans="1:8">
      <c r="A304" s="113" t="e">
        <f t="shared" si="23"/>
        <v>#N/A</v>
      </c>
      <c r="B304" s="114" t="str">
        <f t="shared" si="20"/>
        <v/>
      </c>
      <c r="C304" s="115" t="str">
        <f t="shared" si="21"/>
        <v/>
      </c>
      <c r="D304" s="115" t="str">
        <f t="shared" si="22"/>
        <v/>
      </c>
      <c r="E304" s="115"/>
      <c r="F304" s="115" t="str">
        <f t="shared" si="24"/>
        <v/>
      </c>
      <c r="H304"/>
    </row>
    <row r="305" spans="1:8">
      <c r="A305" s="113" t="e">
        <f t="shared" si="23"/>
        <v>#N/A</v>
      </c>
      <c r="B305" s="114" t="str">
        <f t="shared" si="20"/>
        <v/>
      </c>
      <c r="C305" s="115" t="str">
        <f t="shared" si="21"/>
        <v/>
      </c>
      <c r="D305" s="115" t="str">
        <f t="shared" si="22"/>
        <v/>
      </c>
      <c r="E305" s="115"/>
      <c r="F305" s="115" t="str">
        <f t="shared" si="24"/>
        <v/>
      </c>
      <c r="H305"/>
    </row>
    <row r="306" spans="1:8">
      <c r="A306" s="113" t="e">
        <f t="shared" si="23"/>
        <v>#N/A</v>
      </c>
      <c r="B306" s="114" t="str">
        <f t="shared" si="20"/>
        <v/>
      </c>
      <c r="C306" s="115" t="str">
        <f t="shared" si="21"/>
        <v/>
      </c>
      <c r="D306" s="115" t="str">
        <f t="shared" si="22"/>
        <v/>
      </c>
      <c r="E306" s="115"/>
      <c r="F306" s="115" t="str">
        <f t="shared" si="24"/>
        <v/>
      </c>
      <c r="H306"/>
    </row>
    <row r="307" spans="1:8">
      <c r="A307" s="113" t="e">
        <f t="shared" si="23"/>
        <v>#N/A</v>
      </c>
      <c r="B307" s="114" t="str">
        <f t="shared" si="20"/>
        <v/>
      </c>
      <c r="C307" s="115" t="str">
        <f t="shared" si="21"/>
        <v/>
      </c>
      <c r="D307" s="115" t="str">
        <f t="shared" si="22"/>
        <v/>
      </c>
      <c r="E307" s="115"/>
      <c r="F307" s="115" t="str">
        <f t="shared" si="24"/>
        <v/>
      </c>
      <c r="H307"/>
    </row>
    <row r="308" spans="1:8">
      <c r="A308" s="113" t="e">
        <f t="shared" si="23"/>
        <v>#N/A</v>
      </c>
      <c r="B308" s="114" t="str">
        <f t="shared" si="20"/>
        <v/>
      </c>
      <c r="C308" s="115" t="str">
        <f t="shared" si="21"/>
        <v/>
      </c>
      <c r="D308" s="115" t="str">
        <f t="shared" si="22"/>
        <v/>
      </c>
      <c r="E308" s="115"/>
      <c r="F308" s="115" t="str">
        <f t="shared" si="24"/>
        <v/>
      </c>
      <c r="H308"/>
    </row>
    <row r="309" spans="1:8">
      <c r="A309" s="113" t="e">
        <f t="shared" si="23"/>
        <v>#N/A</v>
      </c>
      <c r="B309" s="114" t="str">
        <f t="shared" si="20"/>
        <v/>
      </c>
      <c r="C309" s="115" t="str">
        <f t="shared" si="21"/>
        <v/>
      </c>
      <c r="D309" s="115" t="str">
        <f t="shared" si="22"/>
        <v/>
      </c>
      <c r="E309" s="115"/>
      <c r="F309" s="115" t="str">
        <f t="shared" si="24"/>
        <v/>
      </c>
      <c r="H309"/>
    </row>
    <row r="310" spans="1:8">
      <c r="A310" s="113" t="e">
        <f t="shared" si="23"/>
        <v>#N/A</v>
      </c>
      <c r="B310" s="114" t="str">
        <f t="shared" si="20"/>
        <v/>
      </c>
      <c r="C310" s="115" t="str">
        <f t="shared" si="21"/>
        <v/>
      </c>
      <c r="D310" s="115" t="str">
        <f t="shared" si="22"/>
        <v/>
      </c>
      <c r="E310" s="115"/>
      <c r="F310" s="115" t="str">
        <f t="shared" si="24"/>
        <v/>
      </c>
      <c r="H310"/>
    </row>
    <row r="311" spans="1:8">
      <c r="A311" s="113" t="e">
        <f t="shared" si="23"/>
        <v>#N/A</v>
      </c>
      <c r="B311" s="114" t="str">
        <f t="shared" si="20"/>
        <v/>
      </c>
      <c r="C311" s="115" t="str">
        <f t="shared" si="21"/>
        <v/>
      </c>
      <c r="D311" s="115" t="str">
        <f t="shared" si="22"/>
        <v/>
      </c>
      <c r="E311" s="115"/>
      <c r="F311" s="115" t="str">
        <f t="shared" si="24"/>
        <v/>
      </c>
      <c r="H311"/>
    </row>
    <row r="312" spans="1:8">
      <c r="A312" s="113" t="e">
        <f t="shared" si="23"/>
        <v>#N/A</v>
      </c>
      <c r="B312" s="114" t="str">
        <f t="shared" si="20"/>
        <v/>
      </c>
      <c r="C312" s="115" t="str">
        <f t="shared" si="21"/>
        <v/>
      </c>
      <c r="D312" s="115" t="str">
        <f t="shared" si="22"/>
        <v/>
      </c>
      <c r="E312" s="115"/>
      <c r="F312" s="115" t="str">
        <f t="shared" si="24"/>
        <v/>
      </c>
      <c r="H312"/>
    </row>
    <row r="313" spans="1:8">
      <c r="A313" s="113" t="e">
        <f t="shared" si="23"/>
        <v>#N/A</v>
      </c>
      <c r="B313" s="114" t="str">
        <f t="shared" si="20"/>
        <v/>
      </c>
      <c r="C313" s="115" t="str">
        <f t="shared" si="21"/>
        <v/>
      </c>
      <c r="D313" s="115" t="str">
        <f t="shared" si="22"/>
        <v/>
      </c>
      <c r="E313" s="115"/>
      <c r="F313" s="115" t="str">
        <f t="shared" si="24"/>
        <v/>
      </c>
      <c r="H313"/>
    </row>
    <row r="314" spans="1:8">
      <c r="A314" s="113" t="e">
        <f t="shared" si="23"/>
        <v>#N/A</v>
      </c>
      <c r="B314" s="114" t="str">
        <f t="shared" si="20"/>
        <v/>
      </c>
      <c r="C314" s="115" t="str">
        <f t="shared" si="21"/>
        <v/>
      </c>
      <c r="D314" s="115" t="str">
        <f t="shared" si="22"/>
        <v/>
      </c>
      <c r="E314" s="115"/>
      <c r="F314" s="115" t="str">
        <f t="shared" si="24"/>
        <v/>
      </c>
      <c r="H314"/>
    </row>
    <row r="315" spans="1:8">
      <c r="A315" s="113" t="e">
        <f t="shared" si="23"/>
        <v>#N/A</v>
      </c>
      <c r="B315" s="114" t="str">
        <f t="shared" si="20"/>
        <v/>
      </c>
      <c r="C315" s="115" t="str">
        <f t="shared" si="21"/>
        <v/>
      </c>
      <c r="D315" s="115" t="str">
        <f t="shared" si="22"/>
        <v/>
      </c>
      <c r="E315" s="115"/>
      <c r="F315" s="115" t="str">
        <f t="shared" si="24"/>
        <v/>
      </c>
      <c r="H315"/>
    </row>
    <row r="316" spans="1:8">
      <c r="A316" s="113" t="e">
        <f t="shared" si="23"/>
        <v>#N/A</v>
      </c>
      <c r="B316" s="114" t="str">
        <f t="shared" si="20"/>
        <v/>
      </c>
      <c r="C316" s="115" t="str">
        <f t="shared" si="21"/>
        <v/>
      </c>
      <c r="D316" s="115" t="str">
        <f t="shared" si="22"/>
        <v/>
      </c>
      <c r="E316" s="115"/>
      <c r="F316" s="115" t="str">
        <f t="shared" si="24"/>
        <v/>
      </c>
      <c r="H316"/>
    </row>
    <row r="317" spans="1:8">
      <c r="A317" s="113" t="e">
        <f t="shared" si="23"/>
        <v>#N/A</v>
      </c>
      <c r="B317" s="114" t="str">
        <f t="shared" si="20"/>
        <v/>
      </c>
      <c r="C317" s="115" t="str">
        <f t="shared" si="21"/>
        <v/>
      </c>
      <c r="D317" s="115" t="str">
        <f t="shared" si="22"/>
        <v/>
      </c>
      <c r="E317" s="115"/>
      <c r="F317" s="115" t="str">
        <f t="shared" si="24"/>
        <v/>
      </c>
      <c r="H317"/>
    </row>
    <row r="318" spans="1:8">
      <c r="A318" s="113" t="e">
        <f t="shared" si="23"/>
        <v>#N/A</v>
      </c>
      <c r="B318" s="114" t="str">
        <f t="shared" si="20"/>
        <v/>
      </c>
      <c r="C318" s="115" t="str">
        <f t="shared" si="21"/>
        <v/>
      </c>
      <c r="D318" s="115" t="str">
        <f t="shared" si="22"/>
        <v/>
      </c>
      <c r="E318" s="115"/>
      <c r="F318" s="115" t="str">
        <f t="shared" si="24"/>
        <v/>
      </c>
      <c r="H318"/>
    </row>
    <row r="319" spans="1:8">
      <c r="A319" s="113" t="e">
        <f t="shared" si="23"/>
        <v>#N/A</v>
      </c>
      <c r="B319" s="114" t="str">
        <f t="shared" si="20"/>
        <v/>
      </c>
      <c r="C319" s="115" t="str">
        <f t="shared" si="21"/>
        <v/>
      </c>
      <c r="D319" s="115" t="str">
        <f t="shared" si="22"/>
        <v/>
      </c>
      <c r="E319" s="115"/>
      <c r="F319" s="115" t="str">
        <f t="shared" si="24"/>
        <v/>
      </c>
      <c r="H319"/>
    </row>
    <row r="320" spans="1:8">
      <c r="A320" s="113" t="e">
        <f t="shared" si="23"/>
        <v>#N/A</v>
      </c>
      <c r="B320" s="114" t="str">
        <f t="shared" si="20"/>
        <v/>
      </c>
      <c r="C320" s="115" t="str">
        <f t="shared" si="21"/>
        <v/>
      </c>
      <c r="D320" s="115" t="str">
        <f t="shared" si="22"/>
        <v/>
      </c>
      <c r="E320" s="115"/>
      <c r="F320" s="115" t="str">
        <f t="shared" si="24"/>
        <v/>
      </c>
      <c r="H320"/>
    </row>
    <row r="321" spans="1:8">
      <c r="A321" s="113" t="e">
        <f t="shared" si="23"/>
        <v>#N/A</v>
      </c>
      <c r="B321" s="114" t="str">
        <f t="shared" si="20"/>
        <v/>
      </c>
      <c r="C321" s="115" t="str">
        <f t="shared" si="21"/>
        <v/>
      </c>
      <c r="D321" s="115" t="str">
        <f t="shared" si="22"/>
        <v/>
      </c>
      <c r="E321" s="115"/>
      <c r="F321" s="115" t="str">
        <f t="shared" si="24"/>
        <v/>
      </c>
      <c r="H321"/>
    </row>
    <row r="322" spans="1:8">
      <c r="A322" s="113" t="e">
        <f t="shared" si="23"/>
        <v>#N/A</v>
      </c>
      <c r="B322" s="114" t="str">
        <f t="shared" si="20"/>
        <v/>
      </c>
      <c r="C322" s="115" t="str">
        <f t="shared" si="21"/>
        <v/>
      </c>
      <c r="D322" s="115" t="str">
        <f t="shared" si="22"/>
        <v/>
      </c>
      <c r="E322" s="115"/>
      <c r="F322" s="115" t="str">
        <f t="shared" si="24"/>
        <v/>
      </c>
      <c r="H322"/>
    </row>
    <row r="323" spans="1:8">
      <c r="A323" s="113" t="e">
        <f t="shared" si="23"/>
        <v>#N/A</v>
      </c>
      <c r="B323" s="114" t="str">
        <f t="shared" si="20"/>
        <v/>
      </c>
      <c r="C323" s="115" t="str">
        <f t="shared" si="21"/>
        <v/>
      </c>
      <c r="D323" s="115" t="str">
        <f t="shared" si="22"/>
        <v/>
      </c>
      <c r="E323" s="115"/>
      <c r="F323" s="115" t="str">
        <f t="shared" si="24"/>
        <v/>
      </c>
      <c r="H323"/>
    </row>
    <row r="324" spans="1:8">
      <c r="A324" s="113" t="e">
        <f t="shared" si="23"/>
        <v>#N/A</v>
      </c>
      <c r="B324" s="114" t="str">
        <f t="shared" si="20"/>
        <v/>
      </c>
      <c r="C324" s="115" t="str">
        <f t="shared" si="21"/>
        <v/>
      </c>
      <c r="D324" s="115" t="str">
        <f t="shared" si="22"/>
        <v/>
      </c>
      <c r="E324" s="115"/>
      <c r="F324" s="115" t="str">
        <f t="shared" si="24"/>
        <v/>
      </c>
      <c r="H324"/>
    </row>
    <row r="325" spans="1:8">
      <c r="A325" s="113" t="e">
        <f t="shared" si="23"/>
        <v>#N/A</v>
      </c>
      <c r="B325" s="114" t="str">
        <f t="shared" si="20"/>
        <v/>
      </c>
      <c r="C325" s="115" t="str">
        <f t="shared" si="21"/>
        <v/>
      </c>
      <c r="D325" s="115" t="str">
        <f t="shared" si="22"/>
        <v/>
      </c>
      <c r="E325" s="115"/>
      <c r="F325" s="115" t="str">
        <f t="shared" si="24"/>
        <v/>
      </c>
      <c r="H325"/>
    </row>
    <row r="326" spans="1:8">
      <c r="A326" s="113" t="e">
        <f t="shared" si="23"/>
        <v>#N/A</v>
      </c>
      <c r="B326" s="114" t="str">
        <f t="shared" si="20"/>
        <v/>
      </c>
      <c r="C326" s="115" t="str">
        <f t="shared" si="21"/>
        <v/>
      </c>
      <c r="D326" s="115" t="str">
        <f t="shared" si="22"/>
        <v/>
      </c>
      <c r="E326" s="115"/>
      <c r="F326" s="115" t="str">
        <f t="shared" si="24"/>
        <v/>
      </c>
      <c r="H326"/>
    </row>
    <row r="327" spans="1:8">
      <c r="A327" s="113" t="e">
        <f t="shared" si="23"/>
        <v>#N/A</v>
      </c>
      <c r="B327" s="114" t="str">
        <f t="shared" si="20"/>
        <v/>
      </c>
      <c r="C327" s="115" t="str">
        <f t="shared" si="21"/>
        <v/>
      </c>
      <c r="D327" s="115" t="str">
        <f t="shared" si="22"/>
        <v/>
      </c>
      <c r="E327" s="115"/>
      <c r="F327" s="115" t="str">
        <f t="shared" si="24"/>
        <v/>
      </c>
      <c r="H327"/>
    </row>
    <row r="328" spans="1:8">
      <c r="A328" s="113" t="e">
        <f t="shared" si="23"/>
        <v>#N/A</v>
      </c>
      <c r="B328" s="114" t="str">
        <f t="shared" si="20"/>
        <v/>
      </c>
      <c r="C328" s="115" t="str">
        <f t="shared" si="21"/>
        <v/>
      </c>
      <c r="D328" s="115" t="str">
        <f t="shared" si="22"/>
        <v/>
      </c>
      <c r="E328" s="115"/>
      <c r="F328" s="115" t="str">
        <f t="shared" si="24"/>
        <v/>
      </c>
      <c r="H328"/>
    </row>
    <row r="329" spans="1:8">
      <c r="A329" s="113" t="e">
        <f t="shared" si="23"/>
        <v>#N/A</v>
      </c>
      <c r="B329" s="114" t="str">
        <f t="shared" si="20"/>
        <v/>
      </c>
      <c r="C329" s="115" t="str">
        <f t="shared" si="21"/>
        <v/>
      </c>
      <c r="D329" s="115" t="str">
        <f t="shared" si="22"/>
        <v/>
      </c>
      <c r="E329" s="115"/>
      <c r="F329" s="115" t="str">
        <f t="shared" si="24"/>
        <v/>
      </c>
      <c r="H329"/>
    </row>
    <row r="330" spans="1:8">
      <c r="A330" s="113" t="e">
        <f t="shared" si="23"/>
        <v>#N/A</v>
      </c>
      <c r="B330" s="114" t="str">
        <f t="shared" si="20"/>
        <v/>
      </c>
      <c r="C330" s="115" t="str">
        <f t="shared" si="21"/>
        <v/>
      </c>
      <c r="D330" s="115" t="str">
        <f t="shared" si="22"/>
        <v/>
      </c>
      <c r="E330" s="115"/>
      <c r="F330" s="115" t="str">
        <f t="shared" si="24"/>
        <v/>
      </c>
      <c r="H330"/>
    </row>
    <row r="331" spans="1:8">
      <c r="A331" s="113" t="e">
        <f t="shared" si="23"/>
        <v>#N/A</v>
      </c>
      <c r="B331" s="114" t="str">
        <f t="shared" si="20"/>
        <v/>
      </c>
      <c r="C331" s="115" t="str">
        <f t="shared" si="21"/>
        <v/>
      </c>
      <c r="D331" s="115" t="str">
        <f t="shared" si="22"/>
        <v/>
      </c>
      <c r="E331" s="115"/>
      <c r="F331" s="115" t="str">
        <f t="shared" si="24"/>
        <v/>
      </c>
      <c r="H331"/>
    </row>
    <row r="332" spans="1:8">
      <c r="A332" s="113" t="e">
        <f t="shared" si="23"/>
        <v>#N/A</v>
      </c>
      <c r="B332" s="114" t="str">
        <f t="shared" si="20"/>
        <v/>
      </c>
      <c r="C332" s="115" t="str">
        <f t="shared" si="21"/>
        <v/>
      </c>
      <c r="D332" s="115" t="str">
        <f t="shared" si="22"/>
        <v/>
      </c>
      <c r="E332" s="115"/>
      <c r="F332" s="115" t="str">
        <f t="shared" si="24"/>
        <v/>
      </c>
      <c r="H332"/>
    </row>
    <row r="333" spans="1:8">
      <c r="A333" s="113" t="e">
        <f t="shared" si="23"/>
        <v>#N/A</v>
      </c>
      <c r="B333" s="114" t="str">
        <f t="shared" si="20"/>
        <v/>
      </c>
      <c r="C333" s="115" t="str">
        <f t="shared" si="21"/>
        <v/>
      </c>
      <c r="D333" s="115" t="str">
        <f t="shared" si="22"/>
        <v/>
      </c>
      <c r="E333" s="115"/>
      <c r="F333" s="115" t="str">
        <f t="shared" si="24"/>
        <v/>
      </c>
      <c r="H333"/>
    </row>
    <row r="334" spans="1:8">
      <c r="A334" s="113" t="e">
        <f t="shared" si="23"/>
        <v>#N/A</v>
      </c>
      <c r="B334" s="114" t="str">
        <f t="shared" si="20"/>
        <v/>
      </c>
      <c r="C334" s="115" t="str">
        <f t="shared" si="21"/>
        <v/>
      </c>
      <c r="D334" s="115" t="str">
        <f t="shared" si="22"/>
        <v/>
      </c>
      <c r="E334" s="115"/>
      <c r="F334" s="115" t="str">
        <f t="shared" si="24"/>
        <v/>
      </c>
      <c r="H334"/>
    </row>
    <row r="335" spans="1:8">
      <c r="A335" s="113" t="e">
        <f t="shared" si="23"/>
        <v>#N/A</v>
      </c>
      <c r="B335" s="114" t="str">
        <f t="shared" si="20"/>
        <v/>
      </c>
      <c r="C335" s="115" t="str">
        <f t="shared" si="21"/>
        <v/>
      </c>
      <c r="D335" s="115" t="str">
        <f t="shared" si="22"/>
        <v/>
      </c>
      <c r="E335" s="115"/>
      <c r="F335" s="115" t="str">
        <f t="shared" si="24"/>
        <v/>
      </c>
      <c r="H335"/>
    </row>
    <row r="336" spans="1:8">
      <c r="A336" s="113" t="e">
        <f t="shared" si="23"/>
        <v>#N/A</v>
      </c>
      <c r="B336" s="114" t="str">
        <f t="shared" si="20"/>
        <v/>
      </c>
      <c r="C336" s="115" t="str">
        <f t="shared" si="21"/>
        <v/>
      </c>
      <c r="D336" s="115" t="str">
        <f t="shared" si="22"/>
        <v/>
      </c>
      <c r="E336" s="115"/>
      <c r="F336" s="115" t="str">
        <f t="shared" si="24"/>
        <v/>
      </c>
      <c r="H336"/>
    </row>
    <row r="337" spans="1:8">
      <c r="A337" s="113" t="e">
        <f t="shared" si="23"/>
        <v>#N/A</v>
      </c>
      <c r="B337" s="114" t="str">
        <f t="shared" si="20"/>
        <v/>
      </c>
      <c r="C337" s="115" t="str">
        <f t="shared" si="21"/>
        <v/>
      </c>
      <c r="D337" s="115" t="str">
        <f t="shared" si="22"/>
        <v/>
      </c>
      <c r="E337" s="115"/>
      <c r="F337" s="115" t="str">
        <f t="shared" si="24"/>
        <v/>
      </c>
      <c r="H337"/>
    </row>
    <row r="338" spans="1:8">
      <c r="A338" s="113" t="e">
        <f t="shared" si="23"/>
        <v>#N/A</v>
      </c>
      <c r="B338" s="114" t="str">
        <f t="shared" si="20"/>
        <v/>
      </c>
      <c r="C338" s="115" t="str">
        <f t="shared" si="21"/>
        <v/>
      </c>
      <c r="D338" s="115" t="str">
        <f t="shared" si="22"/>
        <v/>
      </c>
      <c r="E338" s="115"/>
      <c r="F338" s="115" t="str">
        <f t="shared" si="24"/>
        <v/>
      </c>
      <c r="H338"/>
    </row>
    <row r="339" spans="1:8">
      <c r="A339" s="113" t="e">
        <f t="shared" si="23"/>
        <v>#N/A</v>
      </c>
      <c r="B339" s="114" t="str">
        <f t="shared" si="20"/>
        <v/>
      </c>
      <c r="C339" s="115" t="str">
        <f t="shared" si="21"/>
        <v/>
      </c>
      <c r="D339" s="115" t="str">
        <f t="shared" si="22"/>
        <v/>
      </c>
      <c r="E339" s="115"/>
      <c r="F339" s="115" t="str">
        <f t="shared" si="24"/>
        <v/>
      </c>
      <c r="H339"/>
    </row>
    <row r="340" spans="1:8">
      <c r="A340" s="113" t="e">
        <f t="shared" si="23"/>
        <v>#N/A</v>
      </c>
      <c r="B340" s="114" t="str">
        <f t="shared" si="20"/>
        <v/>
      </c>
      <c r="C340" s="115" t="str">
        <f t="shared" si="21"/>
        <v/>
      </c>
      <c r="D340" s="115" t="str">
        <f t="shared" si="22"/>
        <v/>
      </c>
      <c r="E340" s="115"/>
      <c r="F340" s="115" t="str">
        <f t="shared" si="24"/>
        <v/>
      </c>
      <c r="H340"/>
    </row>
    <row r="341" spans="1:8">
      <c r="A341" s="113" t="e">
        <f t="shared" si="23"/>
        <v>#N/A</v>
      </c>
      <c r="B341" s="114" t="str">
        <f t="shared" si="20"/>
        <v/>
      </c>
      <c r="C341" s="115" t="str">
        <f t="shared" si="21"/>
        <v/>
      </c>
      <c r="D341" s="115" t="str">
        <f t="shared" si="22"/>
        <v/>
      </c>
      <c r="E341" s="115"/>
      <c r="F341" s="115" t="str">
        <f t="shared" si="24"/>
        <v/>
      </c>
      <c r="H341"/>
    </row>
    <row r="342" spans="1:8">
      <c r="A342" s="113" t="e">
        <f t="shared" si="23"/>
        <v>#N/A</v>
      </c>
      <c r="B342" s="114" t="str">
        <f t="shared" si="20"/>
        <v/>
      </c>
      <c r="C342" s="115" t="str">
        <f t="shared" si="21"/>
        <v/>
      </c>
      <c r="D342" s="115" t="str">
        <f t="shared" si="22"/>
        <v/>
      </c>
      <c r="E342" s="115"/>
      <c r="F342" s="115" t="str">
        <f t="shared" si="24"/>
        <v/>
      </c>
      <c r="H342"/>
    </row>
    <row r="343" spans="1:8">
      <c r="A343" s="113" t="e">
        <f t="shared" si="23"/>
        <v>#N/A</v>
      </c>
      <c r="B343" s="114" t="str">
        <f t="shared" si="20"/>
        <v/>
      </c>
      <c r="C343" s="115" t="str">
        <f t="shared" si="21"/>
        <v/>
      </c>
      <c r="D343" s="115" t="str">
        <f t="shared" si="22"/>
        <v/>
      </c>
      <c r="E343" s="115"/>
      <c r="F343" s="115" t="str">
        <f t="shared" si="24"/>
        <v/>
      </c>
      <c r="H343"/>
    </row>
    <row r="344" spans="1:8">
      <c r="A344" s="113" t="e">
        <f t="shared" si="23"/>
        <v>#N/A</v>
      </c>
      <c r="B344" s="114" t="str">
        <f t="shared" si="20"/>
        <v/>
      </c>
      <c r="C344" s="115" t="str">
        <f t="shared" si="21"/>
        <v/>
      </c>
      <c r="D344" s="115" t="str">
        <f t="shared" si="22"/>
        <v/>
      </c>
      <c r="E344" s="115"/>
      <c r="F344" s="115" t="str">
        <f t="shared" si="24"/>
        <v/>
      </c>
      <c r="H344"/>
    </row>
    <row r="345" spans="1:8">
      <c r="A345" s="113" t="e">
        <f t="shared" si="23"/>
        <v>#N/A</v>
      </c>
      <c r="B345" s="114" t="str">
        <f t="shared" si="20"/>
        <v/>
      </c>
      <c r="C345" s="115" t="str">
        <f t="shared" si="21"/>
        <v/>
      </c>
      <c r="D345" s="115" t="str">
        <f t="shared" si="22"/>
        <v/>
      </c>
      <c r="E345" s="115"/>
      <c r="F345" s="115" t="str">
        <f t="shared" si="24"/>
        <v/>
      </c>
      <c r="H345"/>
    </row>
    <row r="346" spans="1:8">
      <c r="A346" s="113" t="e">
        <f t="shared" si="23"/>
        <v>#N/A</v>
      </c>
      <c r="B346" s="114" t="str">
        <f t="shared" si="20"/>
        <v/>
      </c>
      <c r="C346" s="115" t="str">
        <f t="shared" si="21"/>
        <v/>
      </c>
      <c r="D346" s="115" t="str">
        <f t="shared" si="22"/>
        <v/>
      </c>
      <c r="E346" s="115"/>
      <c r="F346" s="115" t="str">
        <f t="shared" si="24"/>
        <v/>
      </c>
      <c r="H346"/>
    </row>
    <row r="347" spans="1:8">
      <c r="A347" s="113" t="e">
        <f t="shared" si="23"/>
        <v>#N/A</v>
      </c>
      <c r="B347" s="114" t="str">
        <f t="shared" si="20"/>
        <v/>
      </c>
      <c r="C347" s="115" t="str">
        <f t="shared" si="21"/>
        <v/>
      </c>
      <c r="D347" s="115" t="str">
        <f t="shared" si="22"/>
        <v/>
      </c>
      <c r="E347" s="115"/>
      <c r="F347" s="115" t="str">
        <f t="shared" si="24"/>
        <v/>
      </c>
      <c r="H347"/>
    </row>
    <row r="348" spans="1:8">
      <c r="A348" s="113" t="e">
        <f t="shared" si="23"/>
        <v>#N/A</v>
      </c>
      <c r="B348" s="114" t="str">
        <f t="shared" ref="B348:B411" si="25">IF(ISERROR(A348),"",IF($D$9="Annually",EDATE(B347,12),EDATE(B347,1)))</f>
        <v/>
      </c>
      <c r="C348" s="115" t="str">
        <f t="shared" ref="C348:C411" si="26">IF(ISERROR(A348),"",ROUND(F347*rper,2))</f>
        <v/>
      </c>
      <c r="D348" s="115" t="str">
        <f t="shared" ref="D348:D411" si="27">IF(ISERROR(A348),"",MIN(ROUND(F347+C348,2),ROUND(FV($G$12,IF(type=1,A348,A347),,-$D$18),2)))</f>
        <v/>
      </c>
      <c r="E348" s="115"/>
      <c r="F348" s="115" t="str">
        <f t="shared" si="24"/>
        <v/>
      </c>
      <c r="H348"/>
    </row>
    <row r="349" spans="1:8">
      <c r="A349" s="113" t="e">
        <f t="shared" ref="A349:A412" si="28">IF(OR(F348="",F348&lt;=0),NA(),A348+1)</f>
        <v>#N/A</v>
      </c>
      <c r="B349" s="114" t="str">
        <f t="shared" si="25"/>
        <v/>
      </c>
      <c r="C349" s="115" t="str">
        <f t="shared" si="26"/>
        <v/>
      </c>
      <c r="D349" s="115" t="str">
        <f t="shared" si="27"/>
        <v/>
      </c>
      <c r="E349" s="115"/>
      <c r="F349" s="115" t="str">
        <f t="shared" ref="F349:F412" si="29">IF(ISERROR(A349),"",ROUND(F348-D349-E349+C349,2))</f>
        <v/>
      </c>
      <c r="H349"/>
    </row>
    <row r="350" spans="1:8">
      <c r="A350" s="113" t="e">
        <f t="shared" si="28"/>
        <v>#N/A</v>
      </c>
      <c r="B350" s="114" t="str">
        <f t="shared" si="25"/>
        <v/>
      </c>
      <c r="C350" s="115" t="str">
        <f t="shared" si="26"/>
        <v/>
      </c>
      <c r="D350" s="115" t="str">
        <f t="shared" si="27"/>
        <v/>
      </c>
      <c r="E350" s="115"/>
      <c r="F350" s="115" t="str">
        <f t="shared" si="29"/>
        <v/>
      </c>
      <c r="H350"/>
    </row>
    <row r="351" spans="1:8">
      <c r="A351" s="113" t="e">
        <f t="shared" si="28"/>
        <v>#N/A</v>
      </c>
      <c r="B351" s="114" t="str">
        <f t="shared" si="25"/>
        <v/>
      </c>
      <c r="C351" s="115" t="str">
        <f t="shared" si="26"/>
        <v/>
      </c>
      <c r="D351" s="115" t="str">
        <f t="shared" si="27"/>
        <v/>
      </c>
      <c r="E351" s="115"/>
      <c r="F351" s="115" t="str">
        <f t="shared" si="29"/>
        <v/>
      </c>
      <c r="H351"/>
    </row>
    <row r="352" spans="1:8">
      <c r="A352" s="113" t="e">
        <f t="shared" si="28"/>
        <v>#N/A</v>
      </c>
      <c r="B352" s="114" t="str">
        <f t="shared" si="25"/>
        <v/>
      </c>
      <c r="C352" s="115" t="str">
        <f t="shared" si="26"/>
        <v/>
      </c>
      <c r="D352" s="115" t="str">
        <f t="shared" si="27"/>
        <v/>
      </c>
      <c r="E352" s="115"/>
      <c r="F352" s="115" t="str">
        <f t="shared" si="29"/>
        <v/>
      </c>
      <c r="H352"/>
    </row>
    <row r="353" spans="1:8">
      <c r="A353" s="113" t="e">
        <f t="shared" si="28"/>
        <v>#N/A</v>
      </c>
      <c r="B353" s="114" t="str">
        <f t="shared" si="25"/>
        <v/>
      </c>
      <c r="C353" s="115" t="str">
        <f t="shared" si="26"/>
        <v/>
      </c>
      <c r="D353" s="115" t="str">
        <f t="shared" si="27"/>
        <v/>
      </c>
      <c r="E353" s="115"/>
      <c r="F353" s="115" t="str">
        <f t="shared" si="29"/>
        <v/>
      </c>
      <c r="H353"/>
    </row>
    <row r="354" spans="1:8">
      <c r="A354" s="113" t="e">
        <f t="shared" si="28"/>
        <v>#N/A</v>
      </c>
      <c r="B354" s="114" t="str">
        <f t="shared" si="25"/>
        <v/>
      </c>
      <c r="C354" s="115" t="str">
        <f t="shared" si="26"/>
        <v/>
      </c>
      <c r="D354" s="115" t="str">
        <f t="shared" si="27"/>
        <v/>
      </c>
      <c r="E354" s="115"/>
      <c r="F354" s="115" t="str">
        <f t="shared" si="29"/>
        <v/>
      </c>
      <c r="H354"/>
    </row>
    <row r="355" spans="1:8">
      <c r="A355" s="113" t="e">
        <f t="shared" si="28"/>
        <v>#N/A</v>
      </c>
      <c r="B355" s="114" t="str">
        <f t="shared" si="25"/>
        <v/>
      </c>
      <c r="C355" s="115" t="str">
        <f t="shared" si="26"/>
        <v/>
      </c>
      <c r="D355" s="115" t="str">
        <f t="shared" si="27"/>
        <v/>
      </c>
      <c r="E355" s="115"/>
      <c r="F355" s="115" t="str">
        <f t="shared" si="29"/>
        <v/>
      </c>
      <c r="H355"/>
    </row>
    <row r="356" spans="1:8">
      <c r="A356" s="113" t="e">
        <f t="shared" si="28"/>
        <v>#N/A</v>
      </c>
      <c r="B356" s="114" t="str">
        <f t="shared" si="25"/>
        <v/>
      </c>
      <c r="C356" s="115" t="str">
        <f t="shared" si="26"/>
        <v/>
      </c>
      <c r="D356" s="115" t="str">
        <f t="shared" si="27"/>
        <v/>
      </c>
      <c r="E356" s="115"/>
      <c r="F356" s="115" t="str">
        <f t="shared" si="29"/>
        <v/>
      </c>
      <c r="H356"/>
    </row>
    <row r="357" spans="1:8">
      <c r="A357" s="113" t="e">
        <f t="shared" si="28"/>
        <v>#N/A</v>
      </c>
      <c r="B357" s="114" t="str">
        <f t="shared" si="25"/>
        <v/>
      </c>
      <c r="C357" s="115" t="str">
        <f t="shared" si="26"/>
        <v/>
      </c>
      <c r="D357" s="115" t="str">
        <f t="shared" si="27"/>
        <v/>
      </c>
      <c r="E357" s="115"/>
      <c r="F357" s="115" t="str">
        <f t="shared" si="29"/>
        <v/>
      </c>
      <c r="H357"/>
    </row>
    <row r="358" spans="1:8">
      <c r="A358" s="113" t="e">
        <f t="shared" si="28"/>
        <v>#N/A</v>
      </c>
      <c r="B358" s="114" t="str">
        <f t="shared" si="25"/>
        <v/>
      </c>
      <c r="C358" s="115" t="str">
        <f t="shared" si="26"/>
        <v/>
      </c>
      <c r="D358" s="115" t="str">
        <f t="shared" si="27"/>
        <v/>
      </c>
      <c r="E358" s="115"/>
      <c r="F358" s="115" t="str">
        <f t="shared" si="29"/>
        <v/>
      </c>
      <c r="H358"/>
    </row>
    <row r="359" spans="1:8">
      <c r="A359" s="113" t="e">
        <f t="shared" si="28"/>
        <v>#N/A</v>
      </c>
      <c r="B359" s="114" t="str">
        <f t="shared" si="25"/>
        <v/>
      </c>
      <c r="C359" s="115" t="str">
        <f t="shared" si="26"/>
        <v/>
      </c>
      <c r="D359" s="115" t="str">
        <f t="shared" si="27"/>
        <v/>
      </c>
      <c r="E359" s="115"/>
      <c r="F359" s="115" t="str">
        <f t="shared" si="29"/>
        <v/>
      </c>
      <c r="H359"/>
    </row>
    <row r="360" spans="1:8">
      <c r="A360" s="113" t="e">
        <f t="shared" si="28"/>
        <v>#N/A</v>
      </c>
      <c r="B360" s="114" t="str">
        <f t="shared" si="25"/>
        <v/>
      </c>
      <c r="C360" s="115" t="str">
        <f t="shared" si="26"/>
        <v/>
      </c>
      <c r="D360" s="115" t="str">
        <f t="shared" si="27"/>
        <v/>
      </c>
      <c r="E360" s="115"/>
      <c r="F360" s="115" t="str">
        <f t="shared" si="29"/>
        <v/>
      </c>
      <c r="H360"/>
    </row>
    <row r="361" spans="1:8">
      <c r="A361" s="113" t="e">
        <f t="shared" si="28"/>
        <v>#N/A</v>
      </c>
      <c r="B361" s="114" t="str">
        <f t="shared" si="25"/>
        <v/>
      </c>
      <c r="C361" s="115" t="str">
        <f t="shared" si="26"/>
        <v/>
      </c>
      <c r="D361" s="115" t="str">
        <f t="shared" si="27"/>
        <v/>
      </c>
      <c r="E361" s="115"/>
      <c r="F361" s="115" t="str">
        <f t="shared" si="29"/>
        <v/>
      </c>
      <c r="H361"/>
    </row>
    <row r="362" spans="1:8">
      <c r="A362" s="113" t="e">
        <f t="shared" si="28"/>
        <v>#N/A</v>
      </c>
      <c r="B362" s="114" t="str">
        <f t="shared" si="25"/>
        <v/>
      </c>
      <c r="C362" s="115" t="str">
        <f t="shared" si="26"/>
        <v/>
      </c>
      <c r="D362" s="115" t="str">
        <f t="shared" si="27"/>
        <v/>
      </c>
      <c r="E362" s="115"/>
      <c r="F362" s="115" t="str">
        <f t="shared" si="29"/>
        <v/>
      </c>
      <c r="H362"/>
    </row>
    <row r="363" spans="1:8">
      <c r="A363" s="113" t="e">
        <f t="shared" si="28"/>
        <v>#N/A</v>
      </c>
      <c r="B363" s="114" t="str">
        <f t="shared" si="25"/>
        <v/>
      </c>
      <c r="C363" s="115" t="str">
        <f t="shared" si="26"/>
        <v/>
      </c>
      <c r="D363" s="115" t="str">
        <f t="shared" si="27"/>
        <v/>
      </c>
      <c r="E363" s="115"/>
      <c r="F363" s="115" t="str">
        <f t="shared" si="29"/>
        <v/>
      </c>
      <c r="H363"/>
    </row>
    <row r="364" spans="1:8">
      <c r="A364" s="113" t="e">
        <f t="shared" si="28"/>
        <v>#N/A</v>
      </c>
      <c r="B364" s="114" t="str">
        <f t="shared" si="25"/>
        <v/>
      </c>
      <c r="C364" s="115" t="str">
        <f t="shared" si="26"/>
        <v/>
      </c>
      <c r="D364" s="115" t="str">
        <f t="shared" si="27"/>
        <v/>
      </c>
      <c r="E364" s="115"/>
      <c r="F364" s="115" t="str">
        <f t="shared" si="29"/>
        <v/>
      </c>
      <c r="H364"/>
    </row>
    <row r="365" spans="1:8">
      <c r="A365" s="113" t="e">
        <f t="shared" si="28"/>
        <v>#N/A</v>
      </c>
      <c r="B365" s="114" t="str">
        <f t="shared" si="25"/>
        <v/>
      </c>
      <c r="C365" s="115" t="str">
        <f t="shared" si="26"/>
        <v/>
      </c>
      <c r="D365" s="115" t="str">
        <f t="shared" si="27"/>
        <v/>
      </c>
      <c r="E365" s="115"/>
      <c r="F365" s="115" t="str">
        <f t="shared" si="29"/>
        <v/>
      </c>
      <c r="H365"/>
    </row>
    <row r="366" spans="1:8">
      <c r="A366" s="113" t="e">
        <f t="shared" si="28"/>
        <v>#N/A</v>
      </c>
      <c r="B366" s="114" t="str">
        <f t="shared" si="25"/>
        <v/>
      </c>
      <c r="C366" s="115" t="str">
        <f t="shared" si="26"/>
        <v/>
      </c>
      <c r="D366" s="115" t="str">
        <f t="shared" si="27"/>
        <v/>
      </c>
      <c r="E366" s="115"/>
      <c r="F366" s="115" t="str">
        <f t="shared" si="29"/>
        <v/>
      </c>
      <c r="H366"/>
    </row>
    <row r="367" spans="1:8">
      <c r="A367" s="113" t="e">
        <f t="shared" si="28"/>
        <v>#N/A</v>
      </c>
      <c r="B367" s="114" t="str">
        <f t="shared" si="25"/>
        <v/>
      </c>
      <c r="C367" s="115" t="str">
        <f t="shared" si="26"/>
        <v/>
      </c>
      <c r="D367" s="115" t="str">
        <f t="shared" si="27"/>
        <v/>
      </c>
      <c r="E367" s="115"/>
      <c r="F367" s="115" t="str">
        <f t="shared" si="29"/>
        <v/>
      </c>
      <c r="H367"/>
    </row>
    <row r="368" spans="1:8">
      <c r="A368" s="113" t="e">
        <f t="shared" si="28"/>
        <v>#N/A</v>
      </c>
      <c r="B368" s="114" t="str">
        <f t="shared" si="25"/>
        <v/>
      </c>
      <c r="C368" s="115" t="str">
        <f t="shared" si="26"/>
        <v/>
      </c>
      <c r="D368" s="115" t="str">
        <f t="shared" si="27"/>
        <v/>
      </c>
      <c r="E368" s="115"/>
      <c r="F368" s="115" t="str">
        <f t="shared" si="29"/>
        <v/>
      </c>
      <c r="H368"/>
    </row>
    <row r="369" spans="1:8">
      <c r="A369" s="113" t="e">
        <f t="shared" si="28"/>
        <v>#N/A</v>
      </c>
      <c r="B369" s="114" t="str">
        <f t="shared" si="25"/>
        <v/>
      </c>
      <c r="C369" s="115" t="str">
        <f t="shared" si="26"/>
        <v/>
      </c>
      <c r="D369" s="115" t="str">
        <f t="shared" si="27"/>
        <v/>
      </c>
      <c r="E369" s="115"/>
      <c r="F369" s="115" t="str">
        <f t="shared" si="29"/>
        <v/>
      </c>
      <c r="H369"/>
    </row>
    <row r="370" spans="1:8">
      <c r="A370" s="113" t="e">
        <f t="shared" si="28"/>
        <v>#N/A</v>
      </c>
      <c r="B370" s="114" t="str">
        <f t="shared" si="25"/>
        <v/>
      </c>
      <c r="C370" s="115" t="str">
        <f t="shared" si="26"/>
        <v/>
      </c>
      <c r="D370" s="115" t="str">
        <f t="shared" si="27"/>
        <v/>
      </c>
      <c r="E370" s="115"/>
      <c r="F370" s="115" t="str">
        <f t="shared" si="29"/>
        <v/>
      </c>
      <c r="H370"/>
    </row>
    <row r="371" spans="1:8">
      <c r="A371" s="113" t="e">
        <f t="shared" si="28"/>
        <v>#N/A</v>
      </c>
      <c r="B371" s="114" t="str">
        <f t="shared" si="25"/>
        <v/>
      </c>
      <c r="C371" s="115" t="str">
        <f t="shared" si="26"/>
        <v/>
      </c>
      <c r="D371" s="115" t="str">
        <f t="shared" si="27"/>
        <v/>
      </c>
      <c r="E371" s="115"/>
      <c r="F371" s="115" t="str">
        <f t="shared" si="29"/>
        <v/>
      </c>
      <c r="H371"/>
    </row>
    <row r="372" spans="1:8">
      <c r="A372" s="113" t="e">
        <f t="shared" si="28"/>
        <v>#N/A</v>
      </c>
      <c r="B372" s="114" t="str">
        <f t="shared" si="25"/>
        <v/>
      </c>
      <c r="C372" s="115" t="str">
        <f t="shared" si="26"/>
        <v/>
      </c>
      <c r="D372" s="115" t="str">
        <f t="shared" si="27"/>
        <v/>
      </c>
      <c r="E372" s="115"/>
      <c r="F372" s="115" t="str">
        <f t="shared" si="29"/>
        <v/>
      </c>
      <c r="H372"/>
    </row>
    <row r="373" spans="1:8">
      <c r="A373" s="113" t="e">
        <f t="shared" si="28"/>
        <v>#N/A</v>
      </c>
      <c r="B373" s="114" t="str">
        <f t="shared" si="25"/>
        <v/>
      </c>
      <c r="C373" s="115" t="str">
        <f t="shared" si="26"/>
        <v/>
      </c>
      <c r="D373" s="115" t="str">
        <f t="shared" si="27"/>
        <v/>
      </c>
      <c r="E373" s="115"/>
      <c r="F373" s="115" t="str">
        <f t="shared" si="29"/>
        <v/>
      </c>
      <c r="H373"/>
    </row>
    <row r="374" spans="1:8">
      <c r="A374" s="113" t="e">
        <f t="shared" si="28"/>
        <v>#N/A</v>
      </c>
      <c r="B374" s="114" t="str">
        <f t="shared" si="25"/>
        <v/>
      </c>
      <c r="C374" s="115" t="str">
        <f t="shared" si="26"/>
        <v/>
      </c>
      <c r="D374" s="115" t="str">
        <f t="shared" si="27"/>
        <v/>
      </c>
      <c r="E374" s="115"/>
      <c r="F374" s="115" t="str">
        <f t="shared" si="29"/>
        <v/>
      </c>
      <c r="H374"/>
    </row>
    <row r="375" spans="1:8">
      <c r="A375" s="113" t="e">
        <f t="shared" si="28"/>
        <v>#N/A</v>
      </c>
      <c r="B375" s="114" t="str">
        <f t="shared" si="25"/>
        <v/>
      </c>
      <c r="C375" s="115" t="str">
        <f t="shared" si="26"/>
        <v/>
      </c>
      <c r="D375" s="115" t="str">
        <f t="shared" si="27"/>
        <v/>
      </c>
      <c r="E375" s="115"/>
      <c r="F375" s="115" t="str">
        <f t="shared" si="29"/>
        <v/>
      </c>
      <c r="H375"/>
    </row>
    <row r="376" spans="1:8">
      <c r="A376" s="113" t="e">
        <f t="shared" si="28"/>
        <v>#N/A</v>
      </c>
      <c r="B376" s="114" t="str">
        <f t="shared" si="25"/>
        <v/>
      </c>
      <c r="C376" s="115" t="str">
        <f t="shared" si="26"/>
        <v/>
      </c>
      <c r="D376" s="115" t="str">
        <f t="shared" si="27"/>
        <v/>
      </c>
      <c r="E376" s="115"/>
      <c r="F376" s="115" t="str">
        <f t="shared" si="29"/>
        <v/>
      </c>
      <c r="H376"/>
    </row>
    <row r="377" spans="1:8">
      <c r="A377" s="113" t="e">
        <f t="shared" si="28"/>
        <v>#N/A</v>
      </c>
      <c r="B377" s="114" t="str">
        <f t="shared" si="25"/>
        <v/>
      </c>
      <c r="C377" s="115" t="str">
        <f t="shared" si="26"/>
        <v/>
      </c>
      <c r="D377" s="115" t="str">
        <f t="shared" si="27"/>
        <v/>
      </c>
      <c r="E377" s="115"/>
      <c r="F377" s="115" t="str">
        <f t="shared" si="29"/>
        <v/>
      </c>
      <c r="H377"/>
    </row>
    <row r="378" spans="1:8">
      <c r="A378" s="113" t="e">
        <f t="shared" si="28"/>
        <v>#N/A</v>
      </c>
      <c r="B378" s="114" t="str">
        <f t="shared" si="25"/>
        <v/>
      </c>
      <c r="C378" s="115" t="str">
        <f t="shared" si="26"/>
        <v/>
      </c>
      <c r="D378" s="115" t="str">
        <f t="shared" si="27"/>
        <v/>
      </c>
      <c r="E378" s="115"/>
      <c r="F378" s="115" t="str">
        <f t="shared" si="29"/>
        <v/>
      </c>
      <c r="H378"/>
    </row>
    <row r="379" spans="1:8">
      <c r="A379" s="113" t="e">
        <f t="shared" si="28"/>
        <v>#N/A</v>
      </c>
      <c r="B379" s="114" t="str">
        <f t="shared" si="25"/>
        <v/>
      </c>
      <c r="C379" s="115" t="str">
        <f t="shared" si="26"/>
        <v/>
      </c>
      <c r="D379" s="115" t="str">
        <f t="shared" si="27"/>
        <v/>
      </c>
      <c r="E379" s="115"/>
      <c r="F379" s="115" t="str">
        <f t="shared" si="29"/>
        <v/>
      </c>
      <c r="H379"/>
    </row>
    <row r="380" spans="1:8">
      <c r="A380" s="113" t="e">
        <f t="shared" si="28"/>
        <v>#N/A</v>
      </c>
      <c r="B380" s="114" t="str">
        <f t="shared" si="25"/>
        <v/>
      </c>
      <c r="C380" s="115" t="str">
        <f t="shared" si="26"/>
        <v/>
      </c>
      <c r="D380" s="115" t="str">
        <f t="shared" si="27"/>
        <v/>
      </c>
      <c r="E380" s="115"/>
      <c r="F380" s="115" t="str">
        <f t="shared" si="29"/>
        <v/>
      </c>
      <c r="H380"/>
    </row>
    <row r="381" spans="1:8">
      <c r="A381" s="113" t="e">
        <f t="shared" si="28"/>
        <v>#N/A</v>
      </c>
      <c r="B381" s="114" t="str">
        <f t="shared" si="25"/>
        <v/>
      </c>
      <c r="C381" s="115" t="str">
        <f t="shared" si="26"/>
        <v/>
      </c>
      <c r="D381" s="115" t="str">
        <f t="shared" si="27"/>
        <v/>
      </c>
      <c r="E381" s="115"/>
      <c r="F381" s="115" t="str">
        <f t="shared" si="29"/>
        <v/>
      </c>
      <c r="H381"/>
    </row>
    <row r="382" spans="1:8">
      <c r="A382" s="113" t="e">
        <f t="shared" si="28"/>
        <v>#N/A</v>
      </c>
      <c r="B382" s="114" t="str">
        <f t="shared" si="25"/>
        <v/>
      </c>
      <c r="C382" s="115" t="str">
        <f t="shared" si="26"/>
        <v/>
      </c>
      <c r="D382" s="115" t="str">
        <f t="shared" si="27"/>
        <v/>
      </c>
      <c r="E382" s="115"/>
      <c r="F382" s="115" t="str">
        <f t="shared" si="29"/>
        <v/>
      </c>
      <c r="H382"/>
    </row>
    <row r="383" spans="1:8">
      <c r="A383" s="113" t="e">
        <f t="shared" si="28"/>
        <v>#N/A</v>
      </c>
      <c r="B383" s="114" t="str">
        <f t="shared" si="25"/>
        <v/>
      </c>
      <c r="C383" s="115" t="str">
        <f t="shared" si="26"/>
        <v/>
      </c>
      <c r="D383" s="115" t="str">
        <f t="shared" si="27"/>
        <v/>
      </c>
      <c r="E383" s="115"/>
      <c r="F383" s="115" t="str">
        <f t="shared" si="29"/>
        <v/>
      </c>
      <c r="H383"/>
    </row>
    <row r="384" spans="1:8">
      <c r="A384" s="113" t="e">
        <f t="shared" si="28"/>
        <v>#N/A</v>
      </c>
      <c r="B384" s="114" t="str">
        <f t="shared" si="25"/>
        <v/>
      </c>
      <c r="C384" s="115" t="str">
        <f t="shared" si="26"/>
        <v/>
      </c>
      <c r="D384" s="115" t="str">
        <f t="shared" si="27"/>
        <v/>
      </c>
      <c r="E384" s="115"/>
      <c r="F384" s="115" t="str">
        <f t="shared" si="29"/>
        <v/>
      </c>
      <c r="H384"/>
    </row>
    <row r="385" spans="1:8">
      <c r="A385" s="113" t="e">
        <f t="shared" si="28"/>
        <v>#N/A</v>
      </c>
      <c r="B385" s="114" t="str">
        <f t="shared" si="25"/>
        <v/>
      </c>
      <c r="C385" s="115" t="str">
        <f t="shared" si="26"/>
        <v/>
      </c>
      <c r="D385" s="115" t="str">
        <f t="shared" si="27"/>
        <v/>
      </c>
      <c r="E385" s="115"/>
      <c r="F385" s="115" t="str">
        <f t="shared" si="29"/>
        <v/>
      </c>
      <c r="H385"/>
    </row>
    <row r="386" spans="1:8">
      <c r="A386" s="113" t="e">
        <f t="shared" si="28"/>
        <v>#N/A</v>
      </c>
      <c r="B386" s="114" t="str">
        <f t="shared" si="25"/>
        <v/>
      </c>
      <c r="C386" s="115" t="str">
        <f t="shared" si="26"/>
        <v/>
      </c>
      <c r="D386" s="115" t="str">
        <f t="shared" si="27"/>
        <v/>
      </c>
      <c r="E386" s="115"/>
      <c r="F386" s="115" t="str">
        <f t="shared" si="29"/>
        <v/>
      </c>
      <c r="H386"/>
    </row>
    <row r="387" spans="1:8">
      <c r="A387" s="113" t="e">
        <f t="shared" si="28"/>
        <v>#N/A</v>
      </c>
      <c r="B387" s="114" t="str">
        <f t="shared" si="25"/>
        <v/>
      </c>
      <c r="C387" s="115" t="str">
        <f t="shared" si="26"/>
        <v/>
      </c>
      <c r="D387" s="115" t="str">
        <f t="shared" si="27"/>
        <v/>
      </c>
      <c r="E387" s="115"/>
      <c r="F387" s="115" t="str">
        <f t="shared" si="29"/>
        <v/>
      </c>
      <c r="H387"/>
    </row>
    <row r="388" spans="1:8">
      <c r="A388" s="113" t="e">
        <f t="shared" si="28"/>
        <v>#N/A</v>
      </c>
      <c r="B388" s="114" t="str">
        <f t="shared" si="25"/>
        <v/>
      </c>
      <c r="C388" s="115" t="str">
        <f t="shared" si="26"/>
        <v/>
      </c>
      <c r="D388" s="115" t="str">
        <f t="shared" si="27"/>
        <v/>
      </c>
      <c r="E388" s="115"/>
      <c r="F388" s="115" t="str">
        <f t="shared" si="29"/>
        <v/>
      </c>
      <c r="H388"/>
    </row>
    <row r="389" spans="1:8">
      <c r="A389" s="113" t="e">
        <f t="shared" si="28"/>
        <v>#N/A</v>
      </c>
      <c r="B389" s="114" t="str">
        <f t="shared" si="25"/>
        <v/>
      </c>
      <c r="C389" s="115" t="str">
        <f t="shared" si="26"/>
        <v/>
      </c>
      <c r="D389" s="115" t="str">
        <f t="shared" si="27"/>
        <v/>
      </c>
      <c r="E389" s="115"/>
      <c r="F389" s="115" t="str">
        <f t="shared" si="29"/>
        <v/>
      </c>
      <c r="H389"/>
    </row>
    <row r="390" spans="1:8">
      <c r="A390" s="113" t="e">
        <f t="shared" si="28"/>
        <v>#N/A</v>
      </c>
      <c r="B390" s="114" t="str">
        <f t="shared" si="25"/>
        <v/>
      </c>
      <c r="C390" s="115" t="str">
        <f t="shared" si="26"/>
        <v/>
      </c>
      <c r="D390" s="115" t="str">
        <f t="shared" si="27"/>
        <v/>
      </c>
      <c r="E390" s="115"/>
      <c r="F390" s="115" t="str">
        <f t="shared" si="29"/>
        <v/>
      </c>
      <c r="H390"/>
    </row>
    <row r="391" spans="1:8">
      <c r="A391" s="113" t="e">
        <f t="shared" si="28"/>
        <v>#N/A</v>
      </c>
      <c r="B391" s="114" t="str">
        <f t="shared" si="25"/>
        <v/>
      </c>
      <c r="C391" s="115" t="str">
        <f t="shared" si="26"/>
        <v/>
      </c>
      <c r="D391" s="115" t="str">
        <f t="shared" si="27"/>
        <v/>
      </c>
      <c r="E391" s="115"/>
      <c r="F391" s="115" t="str">
        <f t="shared" si="29"/>
        <v/>
      </c>
      <c r="H391"/>
    </row>
    <row r="392" spans="1:8">
      <c r="A392" s="113" t="e">
        <f t="shared" si="28"/>
        <v>#N/A</v>
      </c>
      <c r="B392" s="114" t="str">
        <f t="shared" si="25"/>
        <v/>
      </c>
      <c r="C392" s="115" t="str">
        <f t="shared" si="26"/>
        <v/>
      </c>
      <c r="D392" s="115" t="str">
        <f t="shared" si="27"/>
        <v/>
      </c>
      <c r="E392" s="115"/>
      <c r="F392" s="115" t="str">
        <f t="shared" si="29"/>
        <v/>
      </c>
      <c r="H392"/>
    </row>
    <row r="393" spans="1:8">
      <c r="A393" s="113" t="e">
        <f t="shared" si="28"/>
        <v>#N/A</v>
      </c>
      <c r="B393" s="114" t="str">
        <f t="shared" si="25"/>
        <v/>
      </c>
      <c r="C393" s="115" t="str">
        <f t="shared" si="26"/>
        <v/>
      </c>
      <c r="D393" s="115" t="str">
        <f t="shared" si="27"/>
        <v/>
      </c>
      <c r="E393" s="115"/>
      <c r="F393" s="115" t="str">
        <f t="shared" si="29"/>
        <v/>
      </c>
      <c r="H393"/>
    </row>
    <row r="394" spans="1:8">
      <c r="A394" s="113" t="e">
        <f t="shared" si="28"/>
        <v>#N/A</v>
      </c>
      <c r="B394" s="114" t="str">
        <f t="shared" si="25"/>
        <v/>
      </c>
      <c r="C394" s="115" t="str">
        <f t="shared" si="26"/>
        <v/>
      </c>
      <c r="D394" s="115" t="str">
        <f t="shared" si="27"/>
        <v/>
      </c>
      <c r="E394" s="115"/>
      <c r="F394" s="115" t="str">
        <f t="shared" si="29"/>
        <v/>
      </c>
      <c r="H394"/>
    </row>
    <row r="395" spans="1:8">
      <c r="A395" s="113" t="e">
        <f t="shared" si="28"/>
        <v>#N/A</v>
      </c>
      <c r="B395" s="114" t="str">
        <f t="shared" si="25"/>
        <v/>
      </c>
      <c r="C395" s="115" t="str">
        <f t="shared" si="26"/>
        <v/>
      </c>
      <c r="D395" s="115" t="str">
        <f t="shared" si="27"/>
        <v/>
      </c>
      <c r="E395" s="115"/>
      <c r="F395" s="115" t="str">
        <f t="shared" si="29"/>
        <v/>
      </c>
      <c r="H395"/>
    </row>
    <row r="396" spans="1:8">
      <c r="A396" s="113" t="e">
        <f t="shared" si="28"/>
        <v>#N/A</v>
      </c>
      <c r="B396" s="114" t="str">
        <f t="shared" si="25"/>
        <v/>
      </c>
      <c r="C396" s="115" t="str">
        <f t="shared" si="26"/>
        <v/>
      </c>
      <c r="D396" s="115" t="str">
        <f t="shared" si="27"/>
        <v/>
      </c>
      <c r="E396" s="115"/>
      <c r="F396" s="115" t="str">
        <f t="shared" si="29"/>
        <v/>
      </c>
      <c r="H396"/>
    </row>
    <row r="397" spans="1:8">
      <c r="A397" s="113" t="e">
        <f t="shared" si="28"/>
        <v>#N/A</v>
      </c>
      <c r="B397" s="114" t="str">
        <f t="shared" si="25"/>
        <v/>
      </c>
      <c r="C397" s="115" t="str">
        <f t="shared" si="26"/>
        <v/>
      </c>
      <c r="D397" s="115" t="str">
        <f t="shared" si="27"/>
        <v/>
      </c>
      <c r="E397" s="115"/>
      <c r="F397" s="115" t="str">
        <f t="shared" si="29"/>
        <v/>
      </c>
      <c r="H397"/>
    </row>
    <row r="398" spans="1:8">
      <c r="A398" s="113" t="e">
        <f t="shared" si="28"/>
        <v>#N/A</v>
      </c>
      <c r="B398" s="114" t="str">
        <f t="shared" si="25"/>
        <v/>
      </c>
      <c r="C398" s="115" t="str">
        <f t="shared" si="26"/>
        <v/>
      </c>
      <c r="D398" s="115" t="str">
        <f t="shared" si="27"/>
        <v/>
      </c>
      <c r="E398" s="115"/>
      <c r="F398" s="115" t="str">
        <f t="shared" si="29"/>
        <v/>
      </c>
      <c r="H398"/>
    </row>
    <row r="399" spans="1:8">
      <c r="A399" s="113" t="e">
        <f t="shared" si="28"/>
        <v>#N/A</v>
      </c>
      <c r="B399" s="114" t="str">
        <f t="shared" si="25"/>
        <v/>
      </c>
      <c r="C399" s="115" t="str">
        <f t="shared" si="26"/>
        <v/>
      </c>
      <c r="D399" s="115" t="str">
        <f t="shared" si="27"/>
        <v/>
      </c>
      <c r="E399" s="115"/>
      <c r="F399" s="115" t="str">
        <f t="shared" si="29"/>
        <v/>
      </c>
      <c r="H399"/>
    </row>
    <row r="400" spans="1:8">
      <c r="A400" s="113" t="e">
        <f t="shared" si="28"/>
        <v>#N/A</v>
      </c>
      <c r="B400" s="114" t="str">
        <f t="shared" si="25"/>
        <v/>
      </c>
      <c r="C400" s="115" t="str">
        <f t="shared" si="26"/>
        <v/>
      </c>
      <c r="D400" s="115" t="str">
        <f t="shared" si="27"/>
        <v/>
      </c>
      <c r="E400" s="115"/>
      <c r="F400" s="115" t="str">
        <f t="shared" si="29"/>
        <v/>
      </c>
      <c r="H400"/>
    </row>
    <row r="401" spans="1:8">
      <c r="A401" s="113" t="e">
        <f t="shared" si="28"/>
        <v>#N/A</v>
      </c>
      <c r="B401" s="114" t="str">
        <f t="shared" si="25"/>
        <v/>
      </c>
      <c r="C401" s="115" t="str">
        <f t="shared" si="26"/>
        <v/>
      </c>
      <c r="D401" s="115" t="str">
        <f t="shared" si="27"/>
        <v/>
      </c>
      <c r="E401" s="115"/>
      <c r="F401" s="115" t="str">
        <f t="shared" si="29"/>
        <v/>
      </c>
      <c r="H401"/>
    </row>
    <row r="402" spans="1:8">
      <c r="A402" s="113" t="e">
        <f t="shared" si="28"/>
        <v>#N/A</v>
      </c>
      <c r="B402" s="114" t="str">
        <f t="shared" si="25"/>
        <v/>
      </c>
      <c r="C402" s="115" t="str">
        <f t="shared" si="26"/>
        <v/>
      </c>
      <c r="D402" s="115" t="str">
        <f t="shared" si="27"/>
        <v/>
      </c>
      <c r="E402" s="115"/>
      <c r="F402" s="115" t="str">
        <f t="shared" si="29"/>
        <v/>
      </c>
      <c r="H402"/>
    </row>
    <row r="403" spans="1:8">
      <c r="A403" s="113" t="e">
        <f t="shared" si="28"/>
        <v>#N/A</v>
      </c>
      <c r="B403" s="114" t="str">
        <f t="shared" si="25"/>
        <v/>
      </c>
      <c r="C403" s="115" t="str">
        <f t="shared" si="26"/>
        <v/>
      </c>
      <c r="D403" s="115" t="str">
        <f t="shared" si="27"/>
        <v/>
      </c>
      <c r="E403" s="115"/>
      <c r="F403" s="115" t="str">
        <f t="shared" si="29"/>
        <v/>
      </c>
      <c r="H403"/>
    </row>
    <row r="404" spans="1:8">
      <c r="A404" s="113" t="e">
        <f t="shared" si="28"/>
        <v>#N/A</v>
      </c>
      <c r="B404" s="114" t="str">
        <f t="shared" si="25"/>
        <v/>
      </c>
      <c r="C404" s="115" t="str">
        <f t="shared" si="26"/>
        <v/>
      </c>
      <c r="D404" s="115" t="str">
        <f t="shared" si="27"/>
        <v/>
      </c>
      <c r="E404" s="115"/>
      <c r="F404" s="115" t="str">
        <f t="shared" si="29"/>
        <v/>
      </c>
      <c r="H404"/>
    </row>
    <row r="405" spans="1:8">
      <c r="A405" s="113" t="e">
        <f t="shared" si="28"/>
        <v>#N/A</v>
      </c>
      <c r="B405" s="114" t="str">
        <f t="shared" si="25"/>
        <v/>
      </c>
      <c r="C405" s="115" t="str">
        <f t="shared" si="26"/>
        <v/>
      </c>
      <c r="D405" s="115" t="str">
        <f t="shared" si="27"/>
        <v/>
      </c>
      <c r="E405" s="115"/>
      <c r="F405" s="115" t="str">
        <f t="shared" si="29"/>
        <v/>
      </c>
      <c r="H405"/>
    </row>
    <row r="406" spans="1:8">
      <c r="A406" s="113" t="e">
        <f t="shared" si="28"/>
        <v>#N/A</v>
      </c>
      <c r="B406" s="114" t="str">
        <f t="shared" si="25"/>
        <v/>
      </c>
      <c r="C406" s="115" t="str">
        <f t="shared" si="26"/>
        <v/>
      </c>
      <c r="D406" s="115" t="str">
        <f t="shared" si="27"/>
        <v/>
      </c>
      <c r="E406" s="115"/>
      <c r="F406" s="115" t="str">
        <f t="shared" si="29"/>
        <v/>
      </c>
      <c r="H406"/>
    </row>
    <row r="407" spans="1:8">
      <c r="A407" s="113" t="e">
        <f t="shared" si="28"/>
        <v>#N/A</v>
      </c>
      <c r="B407" s="114" t="str">
        <f t="shared" si="25"/>
        <v/>
      </c>
      <c r="C407" s="115" t="str">
        <f t="shared" si="26"/>
        <v/>
      </c>
      <c r="D407" s="115" t="str">
        <f t="shared" si="27"/>
        <v/>
      </c>
      <c r="E407" s="115"/>
      <c r="F407" s="115" t="str">
        <f t="shared" si="29"/>
        <v/>
      </c>
      <c r="H407"/>
    </row>
    <row r="408" spans="1:8">
      <c r="A408" s="113" t="e">
        <f t="shared" si="28"/>
        <v>#N/A</v>
      </c>
      <c r="B408" s="114" t="str">
        <f t="shared" si="25"/>
        <v/>
      </c>
      <c r="C408" s="115" t="str">
        <f t="shared" si="26"/>
        <v/>
      </c>
      <c r="D408" s="115" t="str">
        <f t="shared" si="27"/>
        <v/>
      </c>
      <c r="E408" s="115"/>
      <c r="F408" s="115" t="str">
        <f t="shared" si="29"/>
        <v/>
      </c>
      <c r="H408"/>
    </row>
    <row r="409" spans="1:8">
      <c r="A409" s="113" t="e">
        <f t="shared" si="28"/>
        <v>#N/A</v>
      </c>
      <c r="B409" s="114" t="str">
        <f t="shared" si="25"/>
        <v/>
      </c>
      <c r="C409" s="115" t="str">
        <f t="shared" si="26"/>
        <v/>
      </c>
      <c r="D409" s="115" t="str">
        <f t="shared" si="27"/>
        <v/>
      </c>
      <c r="E409" s="115"/>
      <c r="F409" s="115" t="str">
        <f t="shared" si="29"/>
        <v/>
      </c>
      <c r="H409"/>
    </row>
    <row r="410" spans="1:8">
      <c r="A410" s="113" t="e">
        <f t="shared" si="28"/>
        <v>#N/A</v>
      </c>
      <c r="B410" s="114" t="str">
        <f t="shared" si="25"/>
        <v/>
      </c>
      <c r="C410" s="115" t="str">
        <f t="shared" si="26"/>
        <v/>
      </c>
      <c r="D410" s="115" t="str">
        <f t="shared" si="27"/>
        <v/>
      </c>
      <c r="E410" s="115"/>
      <c r="F410" s="115" t="str">
        <f t="shared" si="29"/>
        <v/>
      </c>
      <c r="H410"/>
    </row>
    <row r="411" spans="1:8">
      <c r="A411" s="113" t="e">
        <f t="shared" si="28"/>
        <v>#N/A</v>
      </c>
      <c r="B411" s="114" t="str">
        <f t="shared" si="25"/>
        <v/>
      </c>
      <c r="C411" s="115" t="str">
        <f t="shared" si="26"/>
        <v/>
      </c>
      <c r="D411" s="115" t="str">
        <f t="shared" si="27"/>
        <v/>
      </c>
      <c r="E411" s="115"/>
      <c r="F411" s="115" t="str">
        <f t="shared" si="29"/>
        <v/>
      </c>
      <c r="H411"/>
    </row>
    <row r="412" spans="1:8">
      <c r="A412" s="113" t="e">
        <f t="shared" si="28"/>
        <v>#N/A</v>
      </c>
      <c r="B412" s="114" t="str">
        <f t="shared" ref="B412:B475" si="30">IF(ISERROR(A412),"",IF($D$9="Annually",EDATE(B411,12),EDATE(B411,1)))</f>
        <v/>
      </c>
      <c r="C412" s="115" t="str">
        <f t="shared" ref="C412:C475" si="31">IF(ISERROR(A412),"",ROUND(F411*rper,2))</f>
        <v/>
      </c>
      <c r="D412" s="115" t="str">
        <f t="shared" ref="D412:D475" si="32">IF(ISERROR(A412),"",MIN(ROUND(F411+C412,2),ROUND(FV($G$12,IF(type=1,A412,A411),,-$D$18),2)))</f>
        <v/>
      </c>
      <c r="E412" s="115"/>
      <c r="F412" s="115" t="str">
        <f t="shared" si="29"/>
        <v/>
      </c>
      <c r="H412"/>
    </row>
    <row r="413" spans="1:8">
      <c r="A413" s="113" t="e">
        <f t="shared" ref="A413:A476" si="33">IF(OR(F412="",F412&lt;=0),NA(),A412+1)</f>
        <v>#N/A</v>
      </c>
      <c r="B413" s="114" t="str">
        <f t="shared" si="30"/>
        <v/>
      </c>
      <c r="C413" s="115" t="str">
        <f t="shared" si="31"/>
        <v/>
      </c>
      <c r="D413" s="115" t="str">
        <f t="shared" si="32"/>
        <v/>
      </c>
      <c r="E413" s="115"/>
      <c r="F413" s="115" t="str">
        <f t="shared" ref="F413:F476" si="34">IF(ISERROR(A413),"",ROUND(F412-D413-E413+C413,2))</f>
        <v/>
      </c>
      <c r="H413"/>
    </row>
    <row r="414" spans="1:8">
      <c r="A414" s="113" t="e">
        <f t="shared" si="33"/>
        <v>#N/A</v>
      </c>
      <c r="B414" s="114" t="str">
        <f t="shared" si="30"/>
        <v/>
      </c>
      <c r="C414" s="115" t="str">
        <f t="shared" si="31"/>
        <v/>
      </c>
      <c r="D414" s="115" t="str">
        <f t="shared" si="32"/>
        <v/>
      </c>
      <c r="E414" s="115"/>
      <c r="F414" s="115" t="str">
        <f t="shared" si="34"/>
        <v/>
      </c>
      <c r="H414"/>
    </row>
    <row r="415" spans="1:8">
      <c r="A415" s="113" t="e">
        <f t="shared" si="33"/>
        <v>#N/A</v>
      </c>
      <c r="B415" s="114" t="str">
        <f t="shared" si="30"/>
        <v/>
      </c>
      <c r="C415" s="115" t="str">
        <f t="shared" si="31"/>
        <v/>
      </c>
      <c r="D415" s="115" t="str">
        <f t="shared" si="32"/>
        <v/>
      </c>
      <c r="E415" s="115"/>
      <c r="F415" s="115" t="str">
        <f t="shared" si="34"/>
        <v/>
      </c>
      <c r="H415"/>
    </row>
    <row r="416" spans="1:8">
      <c r="A416" s="113" t="e">
        <f t="shared" si="33"/>
        <v>#N/A</v>
      </c>
      <c r="B416" s="114" t="str">
        <f t="shared" si="30"/>
        <v/>
      </c>
      <c r="C416" s="115" t="str">
        <f t="shared" si="31"/>
        <v/>
      </c>
      <c r="D416" s="115" t="str">
        <f t="shared" si="32"/>
        <v/>
      </c>
      <c r="E416" s="115"/>
      <c r="F416" s="115" t="str">
        <f t="shared" si="34"/>
        <v/>
      </c>
      <c r="H416"/>
    </row>
    <row r="417" spans="1:8">
      <c r="A417" s="113" t="e">
        <f t="shared" si="33"/>
        <v>#N/A</v>
      </c>
      <c r="B417" s="114" t="str">
        <f t="shared" si="30"/>
        <v/>
      </c>
      <c r="C417" s="115" t="str">
        <f t="shared" si="31"/>
        <v/>
      </c>
      <c r="D417" s="115" t="str">
        <f t="shared" si="32"/>
        <v/>
      </c>
      <c r="E417" s="115"/>
      <c r="F417" s="115" t="str">
        <f t="shared" si="34"/>
        <v/>
      </c>
      <c r="H417"/>
    </row>
    <row r="418" spans="1:8">
      <c r="A418" s="113" t="e">
        <f t="shared" si="33"/>
        <v>#N/A</v>
      </c>
      <c r="B418" s="114" t="str">
        <f t="shared" si="30"/>
        <v/>
      </c>
      <c r="C418" s="115" t="str">
        <f t="shared" si="31"/>
        <v/>
      </c>
      <c r="D418" s="115" t="str">
        <f t="shared" si="32"/>
        <v/>
      </c>
      <c r="E418" s="115"/>
      <c r="F418" s="115" t="str">
        <f t="shared" si="34"/>
        <v/>
      </c>
      <c r="H418"/>
    </row>
    <row r="419" spans="1:8">
      <c r="A419" s="113" t="e">
        <f t="shared" si="33"/>
        <v>#N/A</v>
      </c>
      <c r="B419" s="114" t="str">
        <f t="shared" si="30"/>
        <v/>
      </c>
      <c r="C419" s="115" t="str">
        <f t="shared" si="31"/>
        <v/>
      </c>
      <c r="D419" s="115" t="str">
        <f t="shared" si="32"/>
        <v/>
      </c>
      <c r="E419" s="115"/>
      <c r="F419" s="115" t="str">
        <f t="shared" si="34"/>
        <v/>
      </c>
      <c r="H419"/>
    </row>
    <row r="420" spans="1:8">
      <c r="A420" s="113" t="e">
        <f t="shared" si="33"/>
        <v>#N/A</v>
      </c>
      <c r="B420" s="114" t="str">
        <f t="shared" si="30"/>
        <v/>
      </c>
      <c r="C420" s="115" t="str">
        <f t="shared" si="31"/>
        <v/>
      </c>
      <c r="D420" s="115" t="str">
        <f t="shared" si="32"/>
        <v/>
      </c>
      <c r="E420" s="115"/>
      <c r="F420" s="115" t="str">
        <f t="shared" si="34"/>
        <v/>
      </c>
      <c r="H420"/>
    </row>
    <row r="421" spans="1:8">
      <c r="A421" s="113" t="e">
        <f t="shared" si="33"/>
        <v>#N/A</v>
      </c>
      <c r="B421" s="114" t="str">
        <f t="shared" si="30"/>
        <v/>
      </c>
      <c r="C421" s="115" t="str">
        <f t="shared" si="31"/>
        <v/>
      </c>
      <c r="D421" s="115" t="str">
        <f t="shared" si="32"/>
        <v/>
      </c>
      <c r="E421" s="115"/>
      <c r="F421" s="115" t="str">
        <f t="shared" si="34"/>
        <v/>
      </c>
      <c r="H421"/>
    </row>
    <row r="422" spans="1:8">
      <c r="A422" s="113" t="e">
        <f t="shared" si="33"/>
        <v>#N/A</v>
      </c>
      <c r="B422" s="114" t="str">
        <f t="shared" si="30"/>
        <v/>
      </c>
      <c r="C422" s="115" t="str">
        <f t="shared" si="31"/>
        <v/>
      </c>
      <c r="D422" s="115" t="str">
        <f t="shared" si="32"/>
        <v/>
      </c>
      <c r="E422" s="115"/>
      <c r="F422" s="115" t="str">
        <f t="shared" si="34"/>
        <v/>
      </c>
      <c r="H422"/>
    </row>
    <row r="423" spans="1:8">
      <c r="A423" s="113" t="e">
        <f t="shared" si="33"/>
        <v>#N/A</v>
      </c>
      <c r="B423" s="114" t="str">
        <f t="shared" si="30"/>
        <v/>
      </c>
      <c r="C423" s="115" t="str">
        <f t="shared" si="31"/>
        <v/>
      </c>
      <c r="D423" s="115" t="str">
        <f t="shared" si="32"/>
        <v/>
      </c>
      <c r="E423" s="115"/>
      <c r="F423" s="115" t="str">
        <f t="shared" si="34"/>
        <v/>
      </c>
      <c r="H423"/>
    </row>
    <row r="424" spans="1:8">
      <c r="A424" s="113" t="e">
        <f t="shared" si="33"/>
        <v>#N/A</v>
      </c>
      <c r="B424" s="114" t="str">
        <f t="shared" si="30"/>
        <v/>
      </c>
      <c r="C424" s="115" t="str">
        <f t="shared" si="31"/>
        <v/>
      </c>
      <c r="D424" s="115" t="str">
        <f t="shared" si="32"/>
        <v/>
      </c>
      <c r="E424" s="115"/>
      <c r="F424" s="115" t="str">
        <f t="shared" si="34"/>
        <v/>
      </c>
      <c r="H424"/>
    </row>
    <row r="425" spans="1:8">
      <c r="A425" s="113" t="e">
        <f t="shared" si="33"/>
        <v>#N/A</v>
      </c>
      <c r="B425" s="114" t="str">
        <f t="shared" si="30"/>
        <v/>
      </c>
      <c r="C425" s="115" t="str">
        <f t="shared" si="31"/>
        <v/>
      </c>
      <c r="D425" s="115" t="str">
        <f t="shared" si="32"/>
        <v/>
      </c>
      <c r="E425" s="115"/>
      <c r="F425" s="115" t="str">
        <f t="shared" si="34"/>
        <v/>
      </c>
      <c r="H425"/>
    </row>
    <row r="426" spans="1:8">
      <c r="A426" s="113" t="e">
        <f t="shared" si="33"/>
        <v>#N/A</v>
      </c>
      <c r="B426" s="114" t="str">
        <f t="shared" si="30"/>
        <v/>
      </c>
      <c r="C426" s="115" t="str">
        <f t="shared" si="31"/>
        <v/>
      </c>
      <c r="D426" s="115" t="str">
        <f t="shared" si="32"/>
        <v/>
      </c>
      <c r="E426" s="115"/>
      <c r="F426" s="115" t="str">
        <f t="shared" si="34"/>
        <v/>
      </c>
      <c r="H426"/>
    </row>
    <row r="427" spans="1:8">
      <c r="A427" s="113" t="e">
        <f t="shared" si="33"/>
        <v>#N/A</v>
      </c>
      <c r="B427" s="114" t="str">
        <f t="shared" si="30"/>
        <v/>
      </c>
      <c r="C427" s="115" t="str">
        <f t="shared" si="31"/>
        <v/>
      </c>
      <c r="D427" s="115" t="str">
        <f t="shared" si="32"/>
        <v/>
      </c>
      <c r="E427" s="115"/>
      <c r="F427" s="115" t="str">
        <f t="shared" si="34"/>
        <v/>
      </c>
      <c r="H427"/>
    </row>
    <row r="428" spans="1:8">
      <c r="A428" s="113" t="e">
        <f t="shared" si="33"/>
        <v>#N/A</v>
      </c>
      <c r="B428" s="114" t="str">
        <f t="shared" si="30"/>
        <v/>
      </c>
      <c r="C428" s="115" t="str">
        <f t="shared" si="31"/>
        <v/>
      </c>
      <c r="D428" s="115" t="str">
        <f t="shared" si="32"/>
        <v/>
      </c>
      <c r="E428" s="115"/>
      <c r="F428" s="115" t="str">
        <f t="shared" si="34"/>
        <v/>
      </c>
      <c r="H428"/>
    </row>
    <row r="429" spans="1:8">
      <c r="A429" s="113" t="e">
        <f t="shared" si="33"/>
        <v>#N/A</v>
      </c>
      <c r="B429" s="114" t="str">
        <f t="shared" si="30"/>
        <v/>
      </c>
      <c r="C429" s="115" t="str">
        <f t="shared" si="31"/>
        <v/>
      </c>
      <c r="D429" s="115" t="str">
        <f t="shared" si="32"/>
        <v/>
      </c>
      <c r="E429" s="115"/>
      <c r="F429" s="115" t="str">
        <f t="shared" si="34"/>
        <v/>
      </c>
      <c r="H429"/>
    </row>
    <row r="430" spans="1:8">
      <c r="A430" s="113" t="e">
        <f t="shared" si="33"/>
        <v>#N/A</v>
      </c>
      <c r="B430" s="114" t="str">
        <f t="shared" si="30"/>
        <v/>
      </c>
      <c r="C430" s="115" t="str">
        <f t="shared" si="31"/>
        <v/>
      </c>
      <c r="D430" s="115" t="str">
        <f t="shared" si="32"/>
        <v/>
      </c>
      <c r="E430" s="115"/>
      <c r="F430" s="115" t="str">
        <f t="shared" si="34"/>
        <v/>
      </c>
      <c r="H430"/>
    </row>
    <row r="431" spans="1:8">
      <c r="A431" s="113" t="e">
        <f t="shared" si="33"/>
        <v>#N/A</v>
      </c>
      <c r="B431" s="114" t="str">
        <f t="shared" si="30"/>
        <v/>
      </c>
      <c r="C431" s="115" t="str">
        <f t="shared" si="31"/>
        <v/>
      </c>
      <c r="D431" s="115" t="str">
        <f t="shared" si="32"/>
        <v/>
      </c>
      <c r="E431" s="115"/>
      <c r="F431" s="115" t="str">
        <f t="shared" si="34"/>
        <v/>
      </c>
      <c r="H431"/>
    </row>
    <row r="432" spans="1:8">
      <c r="A432" s="113" t="e">
        <f t="shared" si="33"/>
        <v>#N/A</v>
      </c>
      <c r="B432" s="114" t="str">
        <f t="shared" si="30"/>
        <v/>
      </c>
      <c r="C432" s="115" t="str">
        <f t="shared" si="31"/>
        <v/>
      </c>
      <c r="D432" s="115" t="str">
        <f t="shared" si="32"/>
        <v/>
      </c>
      <c r="E432" s="115"/>
      <c r="F432" s="115" t="str">
        <f t="shared" si="34"/>
        <v/>
      </c>
      <c r="H432"/>
    </row>
    <row r="433" spans="1:8">
      <c r="A433" s="113" t="e">
        <f t="shared" si="33"/>
        <v>#N/A</v>
      </c>
      <c r="B433" s="114" t="str">
        <f t="shared" si="30"/>
        <v/>
      </c>
      <c r="C433" s="115" t="str">
        <f t="shared" si="31"/>
        <v/>
      </c>
      <c r="D433" s="115" t="str">
        <f t="shared" si="32"/>
        <v/>
      </c>
      <c r="E433" s="115"/>
      <c r="F433" s="115" t="str">
        <f t="shared" si="34"/>
        <v/>
      </c>
      <c r="H433"/>
    </row>
    <row r="434" spans="1:8">
      <c r="A434" s="113" t="e">
        <f t="shared" si="33"/>
        <v>#N/A</v>
      </c>
      <c r="B434" s="114" t="str">
        <f t="shared" si="30"/>
        <v/>
      </c>
      <c r="C434" s="115" t="str">
        <f t="shared" si="31"/>
        <v/>
      </c>
      <c r="D434" s="115" t="str">
        <f t="shared" si="32"/>
        <v/>
      </c>
      <c r="E434" s="115"/>
      <c r="F434" s="115" t="str">
        <f t="shared" si="34"/>
        <v/>
      </c>
      <c r="H434"/>
    </row>
    <row r="435" spans="1:8">
      <c r="A435" s="113" t="e">
        <f t="shared" si="33"/>
        <v>#N/A</v>
      </c>
      <c r="B435" s="114" t="str">
        <f t="shared" si="30"/>
        <v/>
      </c>
      <c r="C435" s="115" t="str">
        <f t="shared" si="31"/>
        <v/>
      </c>
      <c r="D435" s="115" t="str">
        <f t="shared" si="32"/>
        <v/>
      </c>
      <c r="E435" s="115"/>
      <c r="F435" s="115" t="str">
        <f t="shared" si="34"/>
        <v/>
      </c>
      <c r="H435"/>
    </row>
    <row r="436" spans="1:8">
      <c r="A436" s="113" t="e">
        <f t="shared" si="33"/>
        <v>#N/A</v>
      </c>
      <c r="B436" s="114" t="str">
        <f t="shared" si="30"/>
        <v/>
      </c>
      <c r="C436" s="115" t="str">
        <f t="shared" si="31"/>
        <v/>
      </c>
      <c r="D436" s="115" t="str">
        <f t="shared" si="32"/>
        <v/>
      </c>
      <c r="E436" s="115"/>
      <c r="F436" s="115" t="str">
        <f t="shared" si="34"/>
        <v/>
      </c>
      <c r="H436"/>
    </row>
    <row r="437" spans="1:8">
      <c r="A437" s="113" t="e">
        <f t="shared" si="33"/>
        <v>#N/A</v>
      </c>
      <c r="B437" s="114" t="str">
        <f t="shared" si="30"/>
        <v/>
      </c>
      <c r="C437" s="115" t="str">
        <f t="shared" si="31"/>
        <v/>
      </c>
      <c r="D437" s="115" t="str">
        <f t="shared" si="32"/>
        <v/>
      </c>
      <c r="E437" s="115"/>
      <c r="F437" s="115" t="str">
        <f t="shared" si="34"/>
        <v/>
      </c>
      <c r="H437"/>
    </row>
    <row r="438" spans="1:8">
      <c r="A438" s="113" t="e">
        <f t="shared" si="33"/>
        <v>#N/A</v>
      </c>
      <c r="B438" s="114" t="str">
        <f t="shared" si="30"/>
        <v/>
      </c>
      <c r="C438" s="115" t="str">
        <f t="shared" si="31"/>
        <v/>
      </c>
      <c r="D438" s="115" t="str">
        <f t="shared" si="32"/>
        <v/>
      </c>
      <c r="E438" s="115"/>
      <c r="F438" s="115" t="str">
        <f t="shared" si="34"/>
        <v/>
      </c>
      <c r="H438"/>
    </row>
    <row r="439" spans="1:8">
      <c r="A439" s="113" t="e">
        <f t="shared" si="33"/>
        <v>#N/A</v>
      </c>
      <c r="B439" s="114" t="str">
        <f t="shared" si="30"/>
        <v/>
      </c>
      <c r="C439" s="115" t="str">
        <f t="shared" si="31"/>
        <v/>
      </c>
      <c r="D439" s="115" t="str">
        <f t="shared" si="32"/>
        <v/>
      </c>
      <c r="E439" s="115"/>
      <c r="F439" s="115" t="str">
        <f t="shared" si="34"/>
        <v/>
      </c>
      <c r="H439"/>
    </row>
    <row r="440" spans="1:8">
      <c r="A440" s="113" t="e">
        <f t="shared" si="33"/>
        <v>#N/A</v>
      </c>
      <c r="B440" s="114" t="str">
        <f t="shared" si="30"/>
        <v/>
      </c>
      <c r="C440" s="115" t="str">
        <f t="shared" si="31"/>
        <v/>
      </c>
      <c r="D440" s="115" t="str">
        <f t="shared" si="32"/>
        <v/>
      </c>
      <c r="E440" s="115"/>
      <c r="F440" s="115" t="str">
        <f t="shared" si="34"/>
        <v/>
      </c>
      <c r="H440"/>
    </row>
    <row r="441" spans="1:8">
      <c r="A441" s="113" t="e">
        <f t="shared" si="33"/>
        <v>#N/A</v>
      </c>
      <c r="B441" s="114" t="str">
        <f t="shared" si="30"/>
        <v/>
      </c>
      <c r="C441" s="115" t="str">
        <f t="shared" si="31"/>
        <v/>
      </c>
      <c r="D441" s="115" t="str">
        <f t="shared" si="32"/>
        <v/>
      </c>
      <c r="E441" s="115"/>
      <c r="F441" s="115" t="str">
        <f t="shared" si="34"/>
        <v/>
      </c>
      <c r="H441"/>
    </row>
    <row r="442" spans="1:8">
      <c r="A442" s="113" t="e">
        <f t="shared" si="33"/>
        <v>#N/A</v>
      </c>
      <c r="B442" s="114" t="str">
        <f t="shared" si="30"/>
        <v/>
      </c>
      <c r="C442" s="115" t="str">
        <f t="shared" si="31"/>
        <v/>
      </c>
      <c r="D442" s="115" t="str">
        <f t="shared" si="32"/>
        <v/>
      </c>
      <c r="E442" s="115"/>
      <c r="F442" s="115" t="str">
        <f t="shared" si="34"/>
        <v/>
      </c>
      <c r="H442"/>
    </row>
    <row r="443" spans="1:8">
      <c r="A443" s="113" t="e">
        <f t="shared" si="33"/>
        <v>#N/A</v>
      </c>
      <c r="B443" s="114" t="str">
        <f t="shared" si="30"/>
        <v/>
      </c>
      <c r="C443" s="115" t="str">
        <f t="shared" si="31"/>
        <v/>
      </c>
      <c r="D443" s="115" t="str">
        <f t="shared" si="32"/>
        <v/>
      </c>
      <c r="E443" s="115"/>
      <c r="F443" s="115" t="str">
        <f t="shared" si="34"/>
        <v/>
      </c>
      <c r="H443"/>
    </row>
    <row r="444" spans="1:8">
      <c r="A444" s="113" t="e">
        <f t="shared" si="33"/>
        <v>#N/A</v>
      </c>
      <c r="B444" s="114" t="str">
        <f t="shared" si="30"/>
        <v/>
      </c>
      <c r="C444" s="115" t="str">
        <f t="shared" si="31"/>
        <v/>
      </c>
      <c r="D444" s="115" t="str">
        <f t="shared" si="32"/>
        <v/>
      </c>
      <c r="E444" s="115"/>
      <c r="F444" s="115" t="str">
        <f t="shared" si="34"/>
        <v/>
      </c>
      <c r="H444"/>
    </row>
    <row r="445" spans="1:8">
      <c r="A445" s="113" t="e">
        <f t="shared" si="33"/>
        <v>#N/A</v>
      </c>
      <c r="B445" s="114" t="str">
        <f t="shared" si="30"/>
        <v/>
      </c>
      <c r="C445" s="115" t="str">
        <f t="shared" si="31"/>
        <v/>
      </c>
      <c r="D445" s="115" t="str">
        <f t="shared" si="32"/>
        <v/>
      </c>
      <c r="E445" s="115"/>
      <c r="F445" s="115" t="str">
        <f t="shared" si="34"/>
        <v/>
      </c>
      <c r="H445"/>
    </row>
    <row r="446" spans="1:8">
      <c r="A446" s="113" t="e">
        <f t="shared" si="33"/>
        <v>#N/A</v>
      </c>
      <c r="B446" s="114" t="str">
        <f t="shared" si="30"/>
        <v/>
      </c>
      <c r="C446" s="115" t="str">
        <f t="shared" si="31"/>
        <v/>
      </c>
      <c r="D446" s="115" t="str">
        <f t="shared" si="32"/>
        <v/>
      </c>
      <c r="E446" s="115"/>
      <c r="F446" s="115" t="str">
        <f t="shared" si="34"/>
        <v/>
      </c>
      <c r="H446"/>
    </row>
    <row r="447" spans="1:8">
      <c r="A447" s="113" t="e">
        <f t="shared" si="33"/>
        <v>#N/A</v>
      </c>
      <c r="B447" s="114" t="str">
        <f t="shared" si="30"/>
        <v/>
      </c>
      <c r="C447" s="115" t="str">
        <f t="shared" si="31"/>
        <v/>
      </c>
      <c r="D447" s="115" t="str">
        <f t="shared" si="32"/>
        <v/>
      </c>
      <c r="E447" s="115"/>
      <c r="F447" s="115" t="str">
        <f t="shared" si="34"/>
        <v/>
      </c>
      <c r="H447"/>
    </row>
    <row r="448" spans="1:8">
      <c r="A448" s="113" t="e">
        <f t="shared" si="33"/>
        <v>#N/A</v>
      </c>
      <c r="B448" s="114" t="str">
        <f t="shared" si="30"/>
        <v/>
      </c>
      <c r="C448" s="115" t="str">
        <f t="shared" si="31"/>
        <v/>
      </c>
      <c r="D448" s="115" t="str">
        <f t="shared" si="32"/>
        <v/>
      </c>
      <c r="E448" s="115"/>
      <c r="F448" s="115" t="str">
        <f t="shared" si="34"/>
        <v/>
      </c>
      <c r="H448"/>
    </row>
    <row r="449" spans="1:8">
      <c r="A449" s="113" t="e">
        <f t="shared" si="33"/>
        <v>#N/A</v>
      </c>
      <c r="B449" s="114" t="str">
        <f t="shared" si="30"/>
        <v/>
      </c>
      <c r="C449" s="115" t="str">
        <f t="shared" si="31"/>
        <v/>
      </c>
      <c r="D449" s="115" t="str">
        <f t="shared" si="32"/>
        <v/>
      </c>
      <c r="E449" s="115"/>
      <c r="F449" s="115" t="str">
        <f t="shared" si="34"/>
        <v/>
      </c>
      <c r="H449"/>
    </row>
    <row r="450" spans="1:8">
      <c r="A450" s="113" t="e">
        <f t="shared" si="33"/>
        <v>#N/A</v>
      </c>
      <c r="B450" s="114" t="str">
        <f t="shared" si="30"/>
        <v/>
      </c>
      <c r="C450" s="115" t="str">
        <f t="shared" si="31"/>
        <v/>
      </c>
      <c r="D450" s="115" t="str">
        <f t="shared" si="32"/>
        <v/>
      </c>
      <c r="E450" s="115"/>
      <c r="F450" s="115" t="str">
        <f t="shared" si="34"/>
        <v/>
      </c>
      <c r="H450"/>
    </row>
    <row r="451" spans="1:8">
      <c r="A451" s="113" t="e">
        <f t="shared" si="33"/>
        <v>#N/A</v>
      </c>
      <c r="B451" s="114" t="str">
        <f t="shared" si="30"/>
        <v/>
      </c>
      <c r="C451" s="115" t="str">
        <f t="shared" si="31"/>
        <v/>
      </c>
      <c r="D451" s="115" t="str">
        <f t="shared" si="32"/>
        <v/>
      </c>
      <c r="E451" s="115"/>
      <c r="F451" s="115" t="str">
        <f t="shared" si="34"/>
        <v/>
      </c>
      <c r="H451"/>
    </row>
    <row r="452" spans="1:8">
      <c r="A452" s="113" t="e">
        <f t="shared" si="33"/>
        <v>#N/A</v>
      </c>
      <c r="B452" s="114" t="str">
        <f t="shared" si="30"/>
        <v/>
      </c>
      <c r="C452" s="115" t="str">
        <f t="shared" si="31"/>
        <v/>
      </c>
      <c r="D452" s="115" t="str">
        <f t="shared" si="32"/>
        <v/>
      </c>
      <c r="E452" s="115"/>
      <c r="F452" s="115" t="str">
        <f t="shared" si="34"/>
        <v/>
      </c>
      <c r="H452"/>
    </row>
    <row r="453" spans="1:8">
      <c r="A453" s="113" t="e">
        <f t="shared" si="33"/>
        <v>#N/A</v>
      </c>
      <c r="B453" s="114" t="str">
        <f t="shared" si="30"/>
        <v/>
      </c>
      <c r="C453" s="115" t="str">
        <f t="shared" si="31"/>
        <v/>
      </c>
      <c r="D453" s="115" t="str">
        <f t="shared" si="32"/>
        <v/>
      </c>
      <c r="E453" s="115"/>
      <c r="F453" s="115" t="str">
        <f t="shared" si="34"/>
        <v/>
      </c>
      <c r="H453"/>
    </row>
    <row r="454" spans="1:8">
      <c r="A454" s="113" t="e">
        <f t="shared" si="33"/>
        <v>#N/A</v>
      </c>
      <c r="B454" s="114" t="str">
        <f t="shared" si="30"/>
        <v/>
      </c>
      <c r="C454" s="115" t="str">
        <f t="shared" si="31"/>
        <v/>
      </c>
      <c r="D454" s="115" t="str">
        <f t="shared" si="32"/>
        <v/>
      </c>
      <c r="E454" s="115"/>
      <c r="F454" s="115" t="str">
        <f t="shared" si="34"/>
        <v/>
      </c>
      <c r="H454"/>
    </row>
    <row r="455" spans="1:8">
      <c r="A455" s="113" t="e">
        <f t="shared" si="33"/>
        <v>#N/A</v>
      </c>
      <c r="B455" s="114" t="str">
        <f t="shared" si="30"/>
        <v/>
      </c>
      <c r="C455" s="115" t="str">
        <f t="shared" si="31"/>
        <v/>
      </c>
      <c r="D455" s="115" t="str">
        <f t="shared" si="32"/>
        <v/>
      </c>
      <c r="E455" s="115"/>
      <c r="F455" s="115" t="str">
        <f t="shared" si="34"/>
        <v/>
      </c>
      <c r="H455"/>
    </row>
    <row r="456" spans="1:8">
      <c r="A456" s="113" t="e">
        <f t="shared" si="33"/>
        <v>#N/A</v>
      </c>
      <c r="B456" s="114" t="str">
        <f t="shared" si="30"/>
        <v/>
      </c>
      <c r="C456" s="115" t="str">
        <f t="shared" si="31"/>
        <v/>
      </c>
      <c r="D456" s="115" t="str">
        <f t="shared" si="32"/>
        <v/>
      </c>
      <c r="E456" s="115"/>
      <c r="F456" s="115" t="str">
        <f t="shared" si="34"/>
        <v/>
      </c>
      <c r="H456"/>
    </row>
    <row r="457" spans="1:8">
      <c r="A457" s="113" t="e">
        <f t="shared" si="33"/>
        <v>#N/A</v>
      </c>
      <c r="B457" s="114" t="str">
        <f t="shared" si="30"/>
        <v/>
      </c>
      <c r="C457" s="115" t="str">
        <f t="shared" si="31"/>
        <v/>
      </c>
      <c r="D457" s="115" t="str">
        <f t="shared" si="32"/>
        <v/>
      </c>
      <c r="E457" s="115"/>
      <c r="F457" s="115" t="str">
        <f t="shared" si="34"/>
        <v/>
      </c>
      <c r="H457"/>
    </row>
    <row r="458" spans="1:8">
      <c r="A458" s="113" t="e">
        <f t="shared" si="33"/>
        <v>#N/A</v>
      </c>
      <c r="B458" s="114" t="str">
        <f t="shared" si="30"/>
        <v/>
      </c>
      <c r="C458" s="115" t="str">
        <f t="shared" si="31"/>
        <v/>
      </c>
      <c r="D458" s="115" t="str">
        <f t="shared" si="32"/>
        <v/>
      </c>
      <c r="E458" s="115"/>
      <c r="F458" s="115" t="str">
        <f t="shared" si="34"/>
        <v/>
      </c>
      <c r="H458"/>
    </row>
    <row r="459" spans="1:8">
      <c r="A459" s="113" t="e">
        <f t="shared" si="33"/>
        <v>#N/A</v>
      </c>
      <c r="B459" s="114" t="str">
        <f t="shared" si="30"/>
        <v/>
      </c>
      <c r="C459" s="115" t="str">
        <f t="shared" si="31"/>
        <v/>
      </c>
      <c r="D459" s="115" t="str">
        <f t="shared" si="32"/>
        <v/>
      </c>
      <c r="E459" s="115"/>
      <c r="F459" s="115" t="str">
        <f t="shared" si="34"/>
        <v/>
      </c>
      <c r="H459"/>
    </row>
    <row r="460" spans="1:8">
      <c r="A460" s="113" t="e">
        <f t="shared" si="33"/>
        <v>#N/A</v>
      </c>
      <c r="B460" s="114" t="str">
        <f t="shared" si="30"/>
        <v/>
      </c>
      <c r="C460" s="115" t="str">
        <f t="shared" si="31"/>
        <v/>
      </c>
      <c r="D460" s="115" t="str">
        <f t="shared" si="32"/>
        <v/>
      </c>
      <c r="E460" s="115"/>
      <c r="F460" s="115" t="str">
        <f t="shared" si="34"/>
        <v/>
      </c>
      <c r="H460"/>
    </row>
    <row r="461" spans="1:8">
      <c r="A461" s="113" t="e">
        <f t="shared" si="33"/>
        <v>#N/A</v>
      </c>
      <c r="B461" s="114" t="str">
        <f t="shared" si="30"/>
        <v/>
      </c>
      <c r="C461" s="115" t="str">
        <f t="shared" si="31"/>
        <v/>
      </c>
      <c r="D461" s="115" t="str">
        <f t="shared" si="32"/>
        <v/>
      </c>
      <c r="E461" s="115"/>
      <c r="F461" s="115" t="str">
        <f t="shared" si="34"/>
        <v/>
      </c>
      <c r="H461"/>
    </row>
    <row r="462" spans="1:8">
      <c r="A462" s="113" t="e">
        <f t="shared" si="33"/>
        <v>#N/A</v>
      </c>
      <c r="B462" s="114" t="str">
        <f t="shared" si="30"/>
        <v/>
      </c>
      <c r="C462" s="115" t="str">
        <f t="shared" si="31"/>
        <v/>
      </c>
      <c r="D462" s="115" t="str">
        <f t="shared" si="32"/>
        <v/>
      </c>
      <c r="E462" s="115"/>
      <c r="F462" s="115" t="str">
        <f t="shared" si="34"/>
        <v/>
      </c>
      <c r="H462"/>
    </row>
    <row r="463" spans="1:8">
      <c r="A463" s="113" t="e">
        <f t="shared" si="33"/>
        <v>#N/A</v>
      </c>
      <c r="B463" s="114" t="str">
        <f t="shared" si="30"/>
        <v/>
      </c>
      <c r="C463" s="115" t="str">
        <f t="shared" si="31"/>
        <v/>
      </c>
      <c r="D463" s="115" t="str">
        <f t="shared" si="32"/>
        <v/>
      </c>
      <c r="E463" s="115"/>
      <c r="F463" s="115" t="str">
        <f t="shared" si="34"/>
        <v/>
      </c>
      <c r="H463"/>
    </row>
    <row r="464" spans="1:8">
      <c r="A464" s="113" t="e">
        <f t="shared" si="33"/>
        <v>#N/A</v>
      </c>
      <c r="B464" s="114" t="str">
        <f t="shared" si="30"/>
        <v/>
      </c>
      <c r="C464" s="115" t="str">
        <f t="shared" si="31"/>
        <v/>
      </c>
      <c r="D464" s="115" t="str">
        <f t="shared" si="32"/>
        <v/>
      </c>
      <c r="E464" s="115"/>
      <c r="F464" s="115" t="str">
        <f t="shared" si="34"/>
        <v/>
      </c>
      <c r="H464"/>
    </row>
    <row r="465" spans="1:8">
      <c r="A465" s="113" t="e">
        <f t="shared" si="33"/>
        <v>#N/A</v>
      </c>
      <c r="B465" s="114" t="str">
        <f t="shared" si="30"/>
        <v/>
      </c>
      <c r="C465" s="115" t="str">
        <f t="shared" si="31"/>
        <v/>
      </c>
      <c r="D465" s="115" t="str">
        <f t="shared" si="32"/>
        <v/>
      </c>
      <c r="E465" s="115"/>
      <c r="F465" s="115" t="str">
        <f t="shared" si="34"/>
        <v/>
      </c>
      <c r="H465"/>
    </row>
    <row r="466" spans="1:8">
      <c r="A466" s="113" t="e">
        <f t="shared" si="33"/>
        <v>#N/A</v>
      </c>
      <c r="B466" s="114" t="str">
        <f t="shared" si="30"/>
        <v/>
      </c>
      <c r="C466" s="115" t="str">
        <f t="shared" si="31"/>
        <v/>
      </c>
      <c r="D466" s="115" t="str">
        <f t="shared" si="32"/>
        <v/>
      </c>
      <c r="E466" s="115"/>
      <c r="F466" s="115" t="str">
        <f t="shared" si="34"/>
        <v/>
      </c>
      <c r="H466"/>
    </row>
    <row r="467" spans="1:8">
      <c r="A467" s="113" t="e">
        <f t="shared" si="33"/>
        <v>#N/A</v>
      </c>
      <c r="B467" s="114" t="str">
        <f t="shared" si="30"/>
        <v/>
      </c>
      <c r="C467" s="115" t="str">
        <f t="shared" si="31"/>
        <v/>
      </c>
      <c r="D467" s="115" t="str">
        <f t="shared" si="32"/>
        <v/>
      </c>
      <c r="E467" s="115"/>
      <c r="F467" s="115" t="str">
        <f t="shared" si="34"/>
        <v/>
      </c>
      <c r="H467"/>
    </row>
    <row r="468" spans="1:8">
      <c r="A468" s="113" t="e">
        <f t="shared" si="33"/>
        <v>#N/A</v>
      </c>
      <c r="B468" s="114" t="str">
        <f t="shared" si="30"/>
        <v/>
      </c>
      <c r="C468" s="115" t="str">
        <f t="shared" si="31"/>
        <v/>
      </c>
      <c r="D468" s="115" t="str">
        <f t="shared" si="32"/>
        <v/>
      </c>
      <c r="E468" s="115"/>
      <c r="F468" s="115" t="str">
        <f t="shared" si="34"/>
        <v/>
      </c>
      <c r="H468"/>
    </row>
    <row r="469" spans="1:8">
      <c r="A469" s="113" t="e">
        <f t="shared" si="33"/>
        <v>#N/A</v>
      </c>
      <c r="B469" s="114" t="str">
        <f t="shared" si="30"/>
        <v/>
      </c>
      <c r="C469" s="115" t="str">
        <f t="shared" si="31"/>
        <v/>
      </c>
      <c r="D469" s="115" t="str">
        <f t="shared" si="32"/>
        <v/>
      </c>
      <c r="E469" s="115"/>
      <c r="F469" s="115" t="str">
        <f t="shared" si="34"/>
        <v/>
      </c>
      <c r="H469"/>
    </row>
    <row r="470" spans="1:8">
      <c r="A470" s="113" t="e">
        <f t="shared" si="33"/>
        <v>#N/A</v>
      </c>
      <c r="B470" s="114" t="str">
        <f t="shared" si="30"/>
        <v/>
      </c>
      <c r="C470" s="115" t="str">
        <f t="shared" si="31"/>
        <v/>
      </c>
      <c r="D470" s="115" t="str">
        <f t="shared" si="32"/>
        <v/>
      </c>
      <c r="E470" s="115"/>
      <c r="F470" s="115" t="str">
        <f t="shared" si="34"/>
        <v/>
      </c>
      <c r="H470"/>
    </row>
    <row r="471" spans="1:8">
      <c r="A471" s="113" t="e">
        <f t="shared" si="33"/>
        <v>#N/A</v>
      </c>
      <c r="B471" s="114" t="str">
        <f t="shared" si="30"/>
        <v/>
      </c>
      <c r="C471" s="115" t="str">
        <f t="shared" si="31"/>
        <v/>
      </c>
      <c r="D471" s="115" t="str">
        <f t="shared" si="32"/>
        <v/>
      </c>
      <c r="E471" s="115"/>
      <c r="F471" s="115" t="str">
        <f t="shared" si="34"/>
        <v/>
      </c>
      <c r="H471"/>
    </row>
    <row r="472" spans="1:8">
      <c r="A472" s="113" t="e">
        <f t="shared" si="33"/>
        <v>#N/A</v>
      </c>
      <c r="B472" s="114" t="str">
        <f t="shared" si="30"/>
        <v/>
      </c>
      <c r="C472" s="115" t="str">
        <f t="shared" si="31"/>
        <v/>
      </c>
      <c r="D472" s="115" t="str">
        <f t="shared" si="32"/>
        <v/>
      </c>
      <c r="E472" s="115"/>
      <c r="F472" s="115" t="str">
        <f t="shared" si="34"/>
        <v/>
      </c>
      <c r="H472"/>
    </row>
    <row r="473" spans="1:8">
      <c r="A473" s="113" t="e">
        <f t="shared" si="33"/>
        <v>#N/A</v>
      </c>
      <c r="B473" s="114" t="str">
        <f t="shared" si="30"/>
        <v/>
      </c>
      <c r="C473" s="115" t="str">
        <f t="shared" si="31"/>
        <v/>
      </c>
      <c r="D473" s="115" t="str">
        <f t="shared" si="32"/>
        <v/>
      </c>
      <c r="E473" s="115"/>
      <c r="F473" s="115" t="str">
        <f t="shared" si="34"/>
        <v/>
      </c>
      <c r="H473"/>
    </row>
    <row r="474" spans="1:8">
      <c r="A474" s="113" t="e">
        <f t="shared" si="33"/>
        <v>#N/A</v>
      </c>
      <c r="B474" s="114" t="str">
        <f t="shared" si="30"/>
        <v/>
      </c>
      <c r="C474" s="115" t="str">
        <f t="shared" si="31"/>
        <v/>
      </c>
      <c r="D474" s="115" t="str">
        <f t="shared" si="32"/>
        <v/>
      </c>
      <c r="E474" s="115"/>
      <c r="F474" s="115" t="str">
        <f t="shared" si="34"/>
        <v/>
      </c>
      <c r="H474"/>
    </row>
    <row r="475" spans="1:8">
      <c r="A475" s="113" t="e">
        <f t="shared" si="33"/>
        <v>#N/A</v>
      </c>
      <c r="B475" s="114" t="str">
        <f t="shared" si="30"/>
        <v/>
      </c>
      <c r="C475" s="115" t="str">
        <f t="shared" si="31"/>
        <v/>
      </c>
      <c r="D475" s="115" t="str">
        <f t="shared" si="32"/>
        <v/>
      </c>
      <c r="E475" s="115"/>
      <c r="F475" s="115" t="str">
        <f t="shared" si="34"/>
        <v/>
      </c>
      <c r="H475"/>
    </row>
    <row r="476" spans="1:8">
      <c r="A476" s="113" t="e">
        <f t="shared" si="33"/>
        <v>#N/A</v>
      </c>
      <c r="B476" s="114" t="str">
        <f t="shared" ref="B476:B539" si="35">IF(ISERROR(A476),"",IF($D$9="Annually",EDATE(B475,12),EDATE(B475,1)))</f>
        <v/>
      </c>
      <c r="C476" s="115" t="str">
        <f t="shared" ref="C476:C539" si="36">IF(ISERROR(A476),"",ROUND(F475*rper,2))</f>
        <v/>
      </c>
      <c r="D476" s="115" t="str">
        <f t="shared" ref="D476:D539" si="37">IF(ISERROR(A476),"",MIN(ROUND(F475+C476,2),ROUND(FV($G$12,IF(type=1,A476,A475),,-$D$18),2)))</f>
        <v/>
      </c>
      <c r="E476" s="115"/>
      <c r="F476" s="115" t="str">
        <f t="shared" si="34"/>
        <v/>
      </c>
      <c r="H476"/>
    </row>
    <row r="477" spans="1:8">
      <c r="A477" s="113" t="e">
        <f t="shared" ref="A477:A540" si="38">IF(OR(F476="",F476&lt;=0),NA(),A476+1)</f>
        <v>#N/A</v>
      </c>
      <c r="B477" s="114" t="str">
        <f t="shared" si="35"/>
        <v/>
      </c>
      <c r="C477" s="115" t="str">
        <f t="shared" si="36"/>
        <v/>
      </c>
      <c r="D477" s="115" t="str">
        <f t="shared" si="37"/>
        <v/>
      </c>
      <c r="E477" s="115"/>
      <c r="F477" s="115" t="str">
        <f t="shared" ref="F477:F540" si="39">IF(ISERROR(A477),"",ROUND(F476-D477-E477+C477,2))</f>
        <v/>
      </c>
      <c r="H477"/>
    </row>
    <row r="478" spans="1:8">
      <c r="A478" s="113" t="e">
        <f t="shared" si="38"/>
        <v>#N/A</v>
      </c>
      <c r="B478" s="114" t="str">
        <f t="shared" si="35"/>
        <v/>
      </c>
      <c r="C478" s="115" t="str">
        <f t="shared" si="36"/>
        <v/>
      </c>
      <c r="D478" s="115" t="str">
        <f t="shared" si="37"/>
        <v/>
      </c>
      <c r="E478" s="115"/>
      <c r="F478" s="115" t="str">
        <f t="shared" si="39"/>
        <v/>
      </c>
      <c r="H478"/>
    </row>
    <row r="479" spans="1:8">
      <c r="A479" s="113" t="e">
        <f t="shared" si="38"/>
        <v>#N/A</v>
      </c>
      <c r="B479" s="114" t="str">
        <f t="shared" si="35"/>
        <v/>
      </c>
      <c r="C479" s="115" t="str">
        <f t="shared" si="36"/>
        <v/>
      </c>
      <c r="D479" s="115" t="str">
        <f t="shared" si="37"/>
        <v/>
      </c>
      <c r="E479" s="115"/>
      <c r="F479" s="115" t="str">
        <f t="shared" si="39"/>
        <v/>
      </c>
      <c r="H479"/>
    </row>
    <row r="480" spans="1:8">
      <c r="A480" s="113" t="e">
        <f t="shared" si="38"/>
        <v>#N/A</v>
      </c>
      <c r="B480" s="114" t="str">
        <f t="shared" si="35"/>
        <v/>
      </c>
      <c r="C480" s="115" t="str">
        <f t="shared" si="36"/>
        <v/>
      </c>
      <c r="D480" s="115" t="str">
        <f t="shared" si="37"/>
        <v/>
      </c>
      <c r="E480" s="115"/>
      <c r="F480" s="115" t="str">
        <f t="shared" si="39"/>
        <v/>
      </c>
      <c r="H480"/>
    </row>
    <row r="481" spans="1:8">
      <c r="A481" s="113" t="e">
        <f t="shared" si="38"/>
        <v>#N/A</v>
      </c>
      <c r="B481" s="114" t="str">
        <f t="shared" si="35"/>
        <v/>
      </c>
      <c r="C481" s="115" t="str">
        <f t="shared" si="36"/>
        <v/>
      </c>
      <c r="D481" s="115" t="str">
        <f t="shared" si="37"/>
        <v/>
      </c>
      <c r="E481" s="115"/>
      <c r="F481" s="115" t="str">
        <f t="shared" si="39"/>
        <v/>
      </c>
      <c r="H481"/>
    </row>
    <row r="482" spans="1:8">
      <c r="A482" s="113" t="e">
        <f t="shared" si="38"/>
        <v>#N/A</v>
      </c>
      <c r="B482" s="114" t="str">
        <f t="shared" si="35"/>
        <v/>
      </c>
      <c r="C482" s="115" t="str">
        <f t="shared" si="36"/>
        <v/>
      </c>
      <c r="D482" s="115" t="str">
        <f t="shared" si="37"/>
        <v/>
      </c>
      <c r="E482" s="115"/>
      <c r="F482" s="115" t="str">
        <f t="shared" si="39"/>
        <v/>
      </c>
      <c r="H482"/>
    </row>
    <row r="483" spans="1:8">
      <c r="A483" s="113" t="e">
        <f t="shared" si="38"/>
        <v>#N/A</v>
      </c>
      <c r="B483" s="114" t="str">
        <f t="shared" si="35"/>
        <v/>
      </c>
      <c r="C483" s="115" t="str">
        <f t="shared" si="36"/>
        <v/>
      </c>
      <c r="D483" s="115" t="str">
        <f t="shared" si="37"/>
        <v/>
      </c>
      <c r="E483" s="115"/>
      <c r="F483" s="115" t="str">
        <f t="shared" si="39"/>
        <v/>
      </c>
      <c r="H483"/>
    </row>
    <row r="484" spans="1:8">
      <c r="A484" s="113" t="e">
        <f t="shared" si="38"/>
        <v>#N/A</v>
      </c>
      <c r="B484" s="114" t="str">
        <f t="shared" si="35"/>
        <v/>
      </c>
      <c r="C484" s="115" t="str">
        <f t="shared" si="36"/>
        <v/>
      </c>
      <c r="D484" s="115" t="str">
        <f t="shared" si="37"/>
        <v/>
      </c>
      <c r="E484" s="115"/>
      <c r="F484" s="115" t="str">
        <f t="shared" si="39"/>
        <v/>
      </c>
      <c r="H484"/>
    </row>
    <row r="485" spans="1:8">
      <c r="A485" s="113" t="e">
        <f t="shared" si="38"/>
        <v>#N/A</v>
      </c>
      <c r="B485" s="114" t="str">
        <f t="shared" si="35"/>
        <v/>
      </c>
      <c r="C485" s="115" t="str">
        <f t="shared" si="36"/>
        <v/>
      </c>
      <c r="D485" s="115" t="str">
        <f t="shared" si="37"/>
        <v/>
      </c>
      <c r="E485" s="115"/>
      <c r="F485" s="115" t="str">
        <f t="shared" si="39"/>
        <v/>
      </c>
      <c r="H485"/>
    </row>
    <row r="486" spans="1:8">
      <c r="A486" s="113" t="e">
        <f t="shared" si="38"/>
        <v>#N/A</v>
      </c>
      <c r="B486" s="114" t="str">
        <f t="shared" si="35"/>
        <v/>
      </c>
      <c r="C486" s="115" t="str">
        <f t="shared" si="36"/>
        <v/>
      </c>
      <c r="D486" s="115" t="str">
        <f t="shared" si="37"/>
        <v/>
      </c>
      <c r="E486" s="115"/>
      <c r="F486" s="115" t="str">
        <f t="shared" si="39"/>
        <v/>
      </c>
      <c r="H486"/>
    </row>
    <row r="487" spans="1:8">
      <c r="A487" s="113" t="e">
        <f t="shared" si="38"/>
        <v>#N/A</v>
      </c>
      <c r="B487" s="114" t="str">
        <f t="shared" si="35"/>
        <v/>
      </c>
      <c r="C487" s="115" t="str">
        <f t="shared" si="36"/>
        <v/>
      </c>
      <c r="D487" s="115" t="str">
        <f t="shared" si="37"/>
        <v/>
      </c>
      <c r="E487" s="115"/>
      <c r="F487" s="115" t="str">
        <f t="shared" si="39"/>
        <v/>
      </c>
      <c r="H487"/>
    </row>
    <row r="488" spans="1:8">
      <c r="A488" s="113" t="e">
        <f t="shared" si="38"/>
        <v>#N/A</v>
      </c>
      <c r="B488" s="114" t="str">
        <f t="shared" si="35"/>
        <v/>
      </c>
      <c r="C488" s="115" t="str">
        <f t="shared" si="36"/>
        <v/>
      </c>
      <c r="D488" s="115" t="str">
        <f t="shared" si="37"/>
        <v/>
      </c>
      <c r="E488" s="115"/>
      <c r="F488" s="115" t="str">
        <f t="shared" si="39"/>
        <v/>
      </c>
      <c r="H488"/>
    </row>
    <row r="489" spans="1:8">
      <c r="A489" s="113" t="e">
        <f t="shared" si="38"/>
        <v>#N/A</v>
      </c>
      <c r="B489" s="114" t="str">
        <f t="shared" si="35"/>
        <v/>
      </c>
      <c r="C489" s="115" t="str">
        <f t="shared" si="36"/>
        <v/>
      </c>
      <c r="D489" s="115" t="str">
        <f t="shared" si="37"/>
        <v/>
      </c>
      <c r="E489" s="115"/>
      <c r="F489" s="115" t="str">
        <f t="shared" si="39"/>
        <v/>
      </c>
      <c r="H489"/>
    </row>
    <row r="490" spans="1:8">
      <c r="A490" s="113" t="e">
        <f t="shared" si="38"/>
        <v>#N/A</v>
      </c>
      <c r="B490" s="114" t="str">
        <f t="shared" si="35"/>
        <v/>
      </c>
      <c r="C490" s="115" t="str">
        <f t="shared" si="36"/>
        <v/>
      </c>
      <c r="D490" s="115" t="str">
        <f t="shared" si="37"/>
        <v/>
      </c>
      <c r="E490" s="115"/>
      <c r="F490" s="115" t="str">
        <f t="shared" si="39"/>
        <v/>
      </c>
      <c r="H490"/>
    </row>
    <row r="491" spans="1:8">
      <c r="A491" s="113" t="e">
        <f t="shared" si="38"/>
        <v>#N/A</v>
      </c>
      <c r="B491" s="114" t="str">
        <f t="shared" si="35"/>
        <v/>
      </c>
      <c r="C491" s="115" t="str">
        <f t="shared" si="36"/>
        <v/>
      </c>
      <c r="D491" s="115" t="str">
        <f t="shared" si="37"/>
        <v/>
      </c>
      <c r="E491" s="115"/>
      <c r="F491" s="115" t="str">
        <f t="shared" si="39"/>
        <v/>
      </c>
      <c r="H491"/>
    </row>
    <row r="492" spans="1:8">
      <c r="A492" s="113" t="e">
        <f t="shared" si="38"/>
        <v>#N/A</v>
      </c>
      <c r="B492" s="114" t="str">
        <f t="shared" si="35"/>
        <v/>
      </c>
      <c r="C492" s="115" t="str">
        <f t="shared" si="36"/>
        <v/>
      </c>
      <c r="D492" s="115" t="str">
        <f t="shared" si="37"/>
        <v/>
      </c>
      <c r="E492" s="115"/>
      <c r="F492" s="115" t="str">
        <f t="shared" si="39"/>
        <v/>
      </c>
      <c r="H492"/>
    </row>
    <row r="493" spans="1:8">
      <c r="A493" s="113" t="e">
        <f t="shared" si="38"/>
        <v>#N/A</v>
      </c>
      <c r="B493" s="114" t="str">
        <f t="shared" si="35"/>
        <v/>
      </c>
      <c r="C493" s="115" t="str">
        <f t="shared" si="36"/>
        <v/>
      </c>
      <c r="D493" s="115" t="str">
        <f t="shared" si="37"/>
        <v/>
      </c>
      <c r="E493" s="115"/>
      <c r="F493" s="115" t="str">
        <f t="shared" si="39"/>
        <v/>
      </c>
      <c r="H493"/>
    </row>
    <row r="494" spans="1:8">
      <c r="A494" s="113" t="e">
        <f t="shared" si="38"/>
        <v>#N/A</v>
      </c>
      <c r="B494" s="114" t="str">
        <f t="shared" si="35"/>
        <v/>
      </c>
      <c r="C494" s="115" t="str">
        <f t="shared" si="36"/>
        <v/>
      </c>
      <c r="D494" s="115" t="str">
        <f t="shared" si="37"/>
        <v/>
      </c>
      <c r="E494" s="115"/>
      <c r="F494" s="115" t="str">
        <f t="shared" si="39"/>
        <v/>
      </c>
      <c r="H494"/>
    </row>
    <row r="495" spans="1:8">
      <c r="A495" s="113" t="e">
        <f t="shared" si="38"/>
        <v>#N/A</v>
      </c>
      <c r="B495" s="114" t="str">
        <f t="shared" si="35"/>
        <v/>
      </c>
      <c r="C495" s="115" t="str">
        <f t="shared" si="36"/>
        <v/>
      </c>
      <c r="D495" s="115" t="str">
        <f t="shared" si="37"/>
        <v/>
      </c>
      <c r="E495" s="115"/>
      <c r="F495" s="115" t="str">
        <f t="shared" si="39"/>
        <v/>
      </c>
      <c r="H495"/>
    </row>
    <row r="496" spans="1:8">
      <c r="A496" s="113" t="e">
        <f t="shared" si="38"/>
        <v>#N/A</v>
      </c>
      <c r="B496" s="114" t="str">
        <f t="shared" si="35"/>
        <v/>
      </c>
      <c r="C496" s="115" t="str">
        <f t="shared" si="36"/>
        <v/>
      </c>
      <c r="D496" s="115" t="str">
        <f t="shared" si="37"/>
        <v/>
      </c>
      <c r="E496" s="115"/>
      <c r="F496" s="115" t="str">
        <f t="shared" si="39"/>
        <v/>
      </c>
      <c r="H496"/>
    </row>
    <row r="497" spans="1:8">
      <c r="A497" s="113" t="e">
        <f t="shared" si="38"/>
        <v>#N/A</v>
      </c>
      <c r="B497" s="114" t="str">
        <f t="shared" si="35"/>
        <v/>
      </c>
      <c r="C497" s="115" t="str">
        <f t="shared" si="36"/>
        <v/>
      </c>
      <c r="D497" s="115" t="str">
        <f t="shared" si="37"/>
        <v/>
      </c>
      <c r="E497" s="115"/>
      <c r="F497" s="115" t="str">
        <f t="shared" si="39"/>
        <v/>
      </c>
      <c r="H497"/>
    </row>
    <row r="498" spans="1:8">
      <c r="A498" s="113" t="e">
        <f t="shared" si="38"/>
        <v>#N/A</v>
      </c>
      <c r="B498" s="114" t="str">
        <f t="shared" si="35"/>
        <v/>
      </c>
      <c r="C498" s="115" t="str">
        <f t="shared" si="36"/>
        <v/>
      </c>
      <c r="D498" s="115" t="str">
        <f t="shared" si="37"/>
        <v/>
      </c>
      <c r="E498" s="115"/>
      <c r="F498" s="115" t="str">
        <f t="shared" si="39"/>
        <v/>
      </c>
      <c r="H498"/>
    </row>
    <row r="499" spans="1:8">
      <c r="A499" s="113" t="e">
        <f t="shared" si="38"/>
        <v>#N/A</v>
      </c>
      <c r="B499" s="114" t="str">
        <f t="shared" si="35"/>
        <v/>
      </c>
      <c r="C499" s="115" t="str">
        <f t="shared" si="36"/>
        <v/>
      </c>
      <c r="D499" s="115" t="str">
        <f t="shared" si="37"/>
        <v/>
      </c>
      <c r="E499" s="115"/>
      <c r="F499" s="115" t="str">
        <f t="shared" si="39"/>
        <v/>
      </c>
      <c r="H499"/>
    </row>
    <row r="500" spans="1:8">
      <c r="A500" s="113" t="e">
        <f t="shared" si="38"/>
        <v>#N/A</v>
      </c>
      <c r="B500" s="114" t="str">
        <f t="shared" si="35"/>
        <v/>
      </c>
      <c r="C500" s="115" t="str">
        <f t="shared" si="36"/>
        <v/>
      </c>
      <c r="D500" s="115" t="str">
        <f t="shared" si="37"/>
        <v/>
      </c>
      <c r="E500" s="115"/>
      <c r="F500" s="115" t="str">
        <f t="shared" si="39"/>
        <v/>
      </c>
      <c r="H500"/>
    </row>
    <row r="501" spans="1:8">
      <c r="A501" s="113" t="e">
        <f t="shared" si="38"/>
        <v>#N/A</v>
      </c>
      <c r="B501" s="114" t="str">
        <f t="shared" si="35"/>
        <v/>
      </c>
      <c r="C501" s="115" t="str">
        <f t="shared" si="36"/>
        <v/>
      </c>
      <c r="D501" s="115" t="str">
        <f t="shared" si="37"/>
        <v/>
      </c>
      <c r="E501" s="115"/>
      <c r="F501" s="115" t="str">
        <f t="shared" si="39"/>
        <v/>
      </c>
      <c r="H501"/>
    </row>
    <row r="502" spans="1:8">
      <c r="A502" s="113" t="e">
        <f t="shared" si="38"/>
        <v>#N/A</v>
      </c>
      <c r="B502" s="114" t="str">
        <f t="shared" si="35"/>
        <v/>
      </c>
      <c r="C502" s="115" t="str">
        <f t="shared" si="36"/>
        <v/>
      </c>
      <c r="D502" s="115" t="str">
        <f t="shared" si="37"/>
        <v/>
      </c>
      <c r="E502" s="115"/>
      <c r="F502" s="115" t="str">
        <f t="shared" si="39"/>
        <v/>
      </c>
      <c r="H502"/>
    </row>
    <row r="503" spans="1:8">
      <c r="A503" s="113" t="e">
        <f t="shared" si="38"/>
        <v>#N/A</v>
      </c>
      <c r="B503" s="114" t="str">
        <f t="shared" si="35"/>
        <v/>
      </c>
      <c r="C503" s="115" t="str">
        <f t="shared" si="36"/>
        <v/>
      </c>
      <c r="D503" s="115" t="str">
        <f t="shared" si="37"/>
        <v/>
      </c>
      <c r="E503" s="115"/>
      <c r="F503" s="115" t="str">
        <f t="shared" si="39"/>
        <v/>
      </c>
      <c r="H503"/>
    </row>
    <row r="504" spans="1:8">
      <c r="A504" s="113" t="e">
        <f t="shared" si="38"/>
        <v>#N/A</v>
      </c>
      <c r="B504" s="114" t="str">
        <f t="shared" si="35"/>
        <v/>
      </c>
      <c r="C504" s="115" t="str">
        <f t="shared" si="36"/>
        <v/>
      </c>
      <c r="D504" s="115" t="str">
        <f t="shared" si="37"/>
        <v/>
      </c>
      <c r="E504" s="115"/>
      <c r="F504" s="115" t="str">
        <f t="shared" si="39"/>
        <v/>
      </c>
      <c r="H504"/>
    </row>
    <row r="505" spans="1:8">
      <c r="A505" s="113" t="e">
        <f t="shared" si="38"/>
        <v>#N/A</v>
      </c>
      <c r="B505" s="114" t="str">
        <f t="shared" si="35"/>
        <v/>
      </c>
      <c r="C505" s="115" t="str">
        <f t="shared" si="36"/>
        <v/>
      </c>
      <c r="D505" s="115" t="str">
        <f t="shared" si="37"/>
        <v/>
      </c>
      <c r="E505" s="115"/>
      <c r="F505" s="115" t="str">
        <f t="shared" si="39"/>
        <v/>
      </c>
      <c r="H505"/>
    </row>
    <row r="506" spans="1:8">
      <c r="A506" s="113" t="e">
        <f t="shared" si="38"/>
        <v>#N/A</v>
      </c>
      <c r="B506" s="114" t="str">
        <f t="shared" si="35"/>
        <v/>
      </c>
      <c r="C506" s="115" t="str">
        <f t="shared" si="36"/>
        <v/>
      </c>
      <c r="D506" s="115" t="str">
        <f t="shared" si="37"/>
        <v/>
      </c>
      <c r="E506" s="115"/>
      <c r="F506" s="115" t="str">
        <f t="shared" si="39"/>
        <v/>
      </c>
      <c r="H506"/>
    </row>
    <row r="507" spans="1:8">
      <c r="A507" s="113" t="e">
        <f t="shared" si="38"/>
        <v>#N/A</v>
      </c>
      <c r="B507" s="114" t="str">
        <f t="shared" si="35"/>
        <v/>
      </c>
      <c r="C507" s="115" t="str">
        <f t="shared" si="36"/>
        <v/>
      </c>
      <c r="D507" s="115" t="str">
        <f t="shared" si="37"/>
        <v/>
      </c>
      <c r="E507" s="115"/>
      <c r="F507" s="115" t="str">
        <f t="shared" si="39"/>
        <v/>
      </c>
      <c r="H507"/>
    </row>
    <row r="508" spans="1:8">
      <c r="A508" s="113" t="e">
        <f t="shared" si="38"/>
        <v>#N/A</v>
      </c>
      <c r="B508" s="114" t="str">
        <f t="shared" si="35"/>
        <v/>
      </c>
      <c r="C508" s="115" t="str">
        <f t="shared" si="36"/>
        <v/>
      </c>
      <c r="D508" s="115" t="str">
        <f t="shared" si="37"/>
        <v/>
      </c>
      <c r="E508" s="115"/>
      <c r="F508" s="115" t="str">
        <f t="shared" si="39"/>
        <v/>
      </c>
      <c r="H508"/>
    </row>
    <row r="509" spans="1:8">
      <c r="A509" s="113" t="e">
        <f t="shared" si="38"/>
        <v>#N/A</v>
      </c>
      <c r="B509" s="114" t="str">
        <f t="shared" si="35"/>
        <v/>
      </c>
      <c r="C509" s="115" t="str">
        <f t="shared" si="36"/>
        <v/>
      </c>
      <c r="D509" s="115" t="str">
        <f t="shared" si="37"/>
        <v/>
      </c>
      <c r="E509" s="115"/>
      <c r="F509" s="115" t="str">
        <f t="shared" si="39"/>
        <v/>
      </c>
      <c r="H509"/>
    </row>
    <row r="510" spans="1:8">
      <c r="A510" s="113" t="e">
        <f t="shared" si="38"/>
        <v>#N/A</v>
      </c>
      <c r="B510" s="114" t="str">
        <f t="shared" si="35"/>
        <v/>
      </c>
      <c r="C510" s="115" t="str">
        <f t="shared" si="36"/>
        <v/>
      </c>
      <c r="D510" s="115" t="str">
        <f t="shared" si="37"/>
        <v/>
      </c>
      <c r="E510" s="115"/>
      <c r="F510" s="115" t="str">
        <f t="shared" si="39"/>
        <v/>
      </c>
      <c r="H510"/>
    </row>
    <row r="511" spans="1:8">
      <c r="A511" s="113" t="e">
        <f t="shared" si="38"/>
        <v>#N/A</v>
      </c>
      <c r="B511" s="114" t="str">
        <f t="shared" si="35"/>
        <v/>
      </c>
      <c r="C511" s="115" t="str">
        <f t="shared" si="36"/>
        <v/>
      </c>
      <c r="D511" s="115" t="str">
        <f t="shared" si="37"/>
        <v/>
      </c>
      <c r="E511" s="115"/>
      <c r="F511" s="115" t="str">
        <f t="shared" si="39"/>
        <v/>
      </c>
      <c r="H511"/>
    </row>
    <row r="512" spans="1:8">
      <c r="A512" s="113" t="e">
        <f t="shared" si="38"/>
        <v>#N/A</v>
      </c>
      <c r="B512" s="114" t="str">
        <f t="shared" si="35"/>
        <v/>
      </c>
      <c r="C512" s="115" t="str">
        <f t="shared" si="36"/>
        <v/>
      </c>
      <c r="D512" s="115" t="str">
        <f t="shared" si="37"/>
        <v/>
      </c>
      <c r="E512" s="115"/>
      <c r="F512" s="115" t="str">
        <f t="shared" si="39"/>
        <v/>
      </c>
      <c r="H512"/>
    </row>
    <row r="513" spans="1:8">
      <c r="A513" s="113" t="e">
        <f t="shared" si="38"/>
        <v>#N/A</v>
      </c>
      <c r="B513" s="114" t="str">
        <f t="shared" si="35"/>
        <v/>
      </c>
      <c r="C513" s="115" t="str">
        <f t="shared" si="36"/>
        <v/>
      </c>
      <c r="D513" s="115" t="str">
        <f t="shared" si="37"/>
        <v/>
      </c>
      <c r="E513" s="115"/>
      <c r="F513" s="115" t="str">
        <f t="shared" si="39"/>
        <v/>
      </c>
      <c r="H513"/>
    </row>
    <row r="514" spans="1:8">
      <c r="A514" s="113" t="e">
        <f t="shared" si="38"/>
        <v>#N/A</v>
      </c>
      <c r="B514" s="114" t="str">
        <f t="shared" si="35"/>
        <v/>
      </c>
      <c r="C514" s="115" t="str">
        <f t="shared" si="36"/>
        <v/>
      </c>
      <c r="D514" s="115" t="str">
        <f t="shared" si="37"/>
        <v/>
      </c>
      <c r="E514" s="115"/>
      <c r="F514" s="115" t="str">
        <f t="shared" si="39"/>
        <v/>
      </c>
      <c r="H514"/>
    </row>
    <row r="515" spans="1:8">
      <c r="A515" s="113" t="e">
        <f t="shared" si="38"/>
        <v>#N/A</v>
      </c>
      <c r="B515" s="114" t="str">
        <f t="shared" si="35"/>
        <v/>
      </c>
      <c r="C515" s="115" t="str">
        <f t="shared" si="36"/>
        <v/>
      </c>
      <c r="D515" s="115" t="str">
        <f t="shared" si="37"/>
        <v/>
      </c>
      <c r="E515" s="115"/>
      <c r="F515" s="115" t="str">
        <f t="shared" si="39"/>
        <v/>
      </c>
      <c r="H515"/>
    </row>
    <row r="516" spans="1:8">
      <c r="A516" s="113" t="e">
        <f t="shared" si="38"/>
        <v>#N/A</v>
      </c>
      <c r="B516" s="114" t="str">
        <f t="shared" si="35"/>
        <v/>
      </c>
      <c r="C516" s="115" t="str">
        <f t="shared" si="36"/>
        <v/>
      </c>
      <c r="D516" s="115" t="str">
        <f t="shared" si="37"/>
        <v/>
      </c>
      <c r="E516" s="115"/>
      <c r="F516" s="115" t="str">
        <f t="shared" si="39"/>
        <v/>
      </c>
      <c r="H516"/>
    </row>
    <row r="517" spans="1:8">
      <c r="A517" s="113" t="e">
        <f t="shared" si="38"/>
        <v>#N/A</v>
      </c>
      <c r="B517" s="114" t="str">
        <f t="shared" si="35"/>
        <v/>
      </c>
      <c r="C517" s="115" t="str">
        <f t="shared" si="36"/>
        <v/>
      </c>
      <c r="D517" s="115" t="str">
        <f t="shared" si="37"/>
        <v/>
      </c>
      <c r="E517" s="115"/>
      <c r="F517" s="115" t="str">
        <f t="shared" si="39"/>
        <v/>
      </c>
      <c r="H517"/>
    </row>
    <row r="518" spans="1:8">
      <c r="A518" s="113" t="e">
        <f t="shared" si="38"/>
        <v>#N/A</v>
      </c>
      <c r="B518" s="114" t="str">
        <f t="shared" si="35"/>
        <v/>
      </c>
      <c r="C518" s="115" t="str">
        <f t="shared" si="36"/>
        <v/>
      </c>
      <c r="D518" s="115" t="str">
        <f t="shared" si="37"/>
        <v/>
      </c>
      <c r="E518" s="115"/>
      <c r="F518" s="115" t="str">
        <f t="shared" si="39"/>
        <v/>
      </c>
      <c r="H518"/>
    </row>
    <row r="519" spans="1:8">
      <c r="A519" s="113" t="e">
        <f t="shared" si="38"/>
        <v>#N/A</v>
      </c>
      <c r="B519" s="114" t="str">
        <f t="shared" si="35"/>
        <v/>
      </c>
      <c r="C519" s="115" t="str">
        <f t="shared" si="36"/>
        <v/>
      </c>
      <c r="D519" s="115" t="str">
        <f t="shared" si="37"/>
        <v/>
      </c>
      <c r="E519" s="115"/>
      <c r="F519" s="115" t="str">
        <f t="shared" si="39"/>
        <v/>
      </c>
      <c r="H519"/>
    </row>
    <row r="520" spans="1:8">
      <c r="A520" s="113" t="e">
        <f t="shared" si="38"/>
        <v>#N/A</v>
      </c>
      <c r="B520" s="114" t="str">
        <f t="shared" si="35"/>
        <v/>
      </c>
      <c r="C520" s="115" t="str">
        <f t="shared" si="36"/>
        <v/>
      </c>
      <c r="D520" s="115" t="str">
        <f t="shared" si="37"/>
        <v/>
      </c>
      <c r="E520" s="115"/>
      <c r="F520" s="115" t="str">
        <f t="shared" si="39"/>
        <v/>
      </c>
      <c r="H520"/>
    </row>
    <row r="521" spans="1:8">
      <c r="A521" s="113" t="e">
        <f t="shared" si="38"/>
        <v>#N/A</v>
      </c>
      <c r="B521" s="114" t="str">
        <f t="shared" si="35"/>
        <v/>
      </c>
      <c r="C521" s="115" t="str">
        <f t="shared" si="36"/>
        <v/>
      </c>
      <c r="D521" s="115" t="str">
        <f t="shared" si="37"/>
        <v/>
      </c>
      <c r="E521" s="115"/>
      <c r="F521" s="115" t="str">
        <f t="shared" si="39"/>
        <v/>
      </c>
      <c r="H521"/>
    </row>
    <row r="522" spans="1:8">
      <c r="A522" s="113" t="e">
        <f t="shared" si="38"/>
        <v>#N/A</v>
      </c>
      <c r="B522" s="114" t="str">
        <f t="shared" si="35"/>
        <v/>
      </c>
      <c r="C522" s="115" t="str">
        <f t="shared" si="36"/>
        <v/>
      </c>
      <c r="D522" s="115" t="str">
        <f t="shared" si="37"/>
        <v/>
      </c>
      <c r="E522" s="115"/>
      <c r="F522" s="115" t="str">
        <f t="shared" si="39"/>
        <v/>
      </c>
      <c r="H522"/>
    </row>
    <row r="523" spans="1:8">
      <c r="A523" s="113" t="e">
        <f t="shared" si="38"/>
        <v>#N/A</v>
      </c>
      <c r="B523" s="114" t="str">
        <f t="shared" si="35"/>
        <v/>
      </c>
      <c r="C523" s="115" t="str">
        <f t="shared" si="36"/>
        <v/>
      </c>
      <c r="D523" s="115" t="str">
        <f t="shared" si="37"/>
        <v/>
      </c>
      <c r="E523" s="115"/>
      <c r="F523" s="115" t="str">
        <f t="shared" si="39"/>
        <v/>
      </c>
      <c r="H523"/>
    </row>
    <row r="524" spans="1:8">
      <c r="A524" s="113" t="e">
        <f t="shared" si="38"/>
        <v>#N/A</v>
      </c>
      <c r="B524" s="114" t="str">
        <f t="shared" si="35"/>
        <v/>
      </c>
      <c r="C524" s="115" t="str">
        <f t="shared" si="36"/>
        <v/>
      </c>
      <c r="D524" s="115" t="str">
        <f t="shared" si="37"/>
        <v/>
      </c>
      <c r="E524" s="115"/>
      <c r="F524" s="115" t="str">
        <f t="shared" si="39"/>
        <v/>
      </c>
      <c r="H524"/>
    </row>
    <row r="525" spans="1:8">
      <c r="A525" s="113" t="e">
        <f t="shared" si="38"/>
        <v>#N/A</v>
      </c>
      <c r="B525" s="114" t="str">
        <f t="shared" si="35"/>
        <v/>
      </c>
      <c r="C525" s="115" t="str">
        <f t="shared" si="36"/>
        <v/>
      </c>
      <c r="D525" s="115" t="str">
        <f t="shared" si="37"/>
        <v/>
      </c>
      <c r="E525" s="115"/>
      <c r="F525" s="115" t="str">
        <f t="shared" si="39"/>
        <v/>
      </c>
      <c r="H525"/>
    </row>
    <row r="526" spans="1:8">
      <c r="A526" s="113" t="e">
        <f t="shared" si="38"/>
        <v>#N/A</v>
      </c>
      <c r="B526" s="114" t="str">
        <f t="shared" si="35"/>
        <v/>
      </c>
      <c r="C526" s="115" t="str">
        <f t="shared" si="36"/>
        <v/>
      </c>
      <c r="D526" s="115" t="str">
        <f t="shared" si="37"/>
        <v/>
      </c>
      <c r="E526" s="115"/>
      <c r="F526" s="115" t="str">
        <f t="shared" si="39"/>
        <v/>
      </c>
      <c r="H526"/>
    </row>
    <row r="527" spans="1:8">
      <c r="A527" s="113" t="e">
        <f t="shared" si="38"/>
        <v>#N/A</v>
      </c>
      <c r="B527" s="114" t="str">
        <f t="shared" si="35"/>
        <v/>
      </c>
      <c r="C527" s="115" t="str">
        <f t="shared" si="36"/>
        <v/>
      </c>
      <c r="D527" s="115" t="str">
        <f t="shared" si="37"/>
        <v/>
      </c>
      <c r="E527" s="115"/>
      <c r="F527" s="115" t="str">
        <f t="shared" si="39"/>
        <v/>
      </c>
      <c r="H527"/>
    </row>
    <row r="528" spans="1:8">
      <c r="A528" s="113" t="e">
        <f t="shared" si="38"/>
        <v>#N/A</v>
      </c>
      <c r="B528" s="114" t="str">
        <f t="shared" si="35"/>
        <v/>
      </c>
      <c r="C528" s="115" t="str">
        <f t="shared" si="36"/>
        <v/>
      </c>
      <c r="D528" s="115" t="str">
        <f t="shared" si="37"/>
        <v/>
      </c>
      <c r="E528" s="115"/>
      <c r="F528" s="115" t="str">
        <f t="shared" si="39"/>
        <v/>
      </c>
      <c r="H528"/>
    </row>
    <row r="529" spans="1:8">
      <c r="A529" s="113" t="e">
        <f t="shared" si="38"/>
        <v>#N/A</v>
      </c>
      <c r="B529" s="114" t="str">
        <f t="shared" si="35"/>
        <v/>
      </c>
      <c r="C529" s="115" t="str">
        <f t="shared" si="36"/>
        <v/>
      </c>
      <c r="D529" s="115" t="str">
        <f t="shared" si="37"/>
        <v/>
      </c>
      <c r="E529" s="115"/>
      <c r="F529" s="115" t="str">
        <f t="shared" si="39"/>
        <v/>
      </c>
      <c r="H529"/>
    </row>
    <row r="530" spans="1:8">
      <c r="A530" s="113" t="e">
        <f t="shared" si="38"/>
        <v>#N/A</v>
      </c>
      <c r="B530" s="114" t="str">
        <f t="shared" si="35"/>
        <v/>
      </c>
      <c r="C530" s="115" t="str">
        <f t="shared" si="36"/>
        <v/>
      </c>
      <c r="D530" s="115" t="str">
        <f t="shared" si="37"/>
        <v/>
      </c>
      <c r="E530" s="115"/>
      <c r="F530" s="115" t="str">
        <f t="shared" si="39"/>
        <v/>
      </c>
      <c r="H530"/>
    </row>
    <row r="531" spans="1:8">
      <c r="A531" s="113" t="e">
        <f t="shared" si="38"/>
        <v>#N/A</v>
      </c>
      <c r="B531" s="114" t="str">
        <f t="shared" si="35"/>
        <v/>
      </c>
      <c r="C531" s="115" t="str">
        <f t="shared" si="36"/>
        <v/>
      </c>
      <c r="D531" s="115" t="str">
        <f t="shared" si="37"/>
        <v/>
      </c>
      <c r="E531" s="115"/>
      <c r="F531" s="115" t="str">
        <f t="shared" si="39"/>
        <v/>
      </c>
      <c r="H531"/>
    </row>
    <row r="532" spans="1:8">
      <c r="A532" s="113" t="e">
        <f t="shared" si="38"/>
        <v>#N/A</v>
      </c>
      <c r="B532" s="114" t="str">
        <f t="shared" si="35"/>
        <v/>
      </c>
      <c r="C532" s="115" t="str">
        <f t="shared" si="36"/>
        <v/>
      </c>
      <c r="D532" s="115" t="str">
        <f t="shared" si="37"/>
        <v/>
      </c>
      <c r="E532" s="115"/>
      <c r="F532" s="115" t="str">
        <f t="shared" si="39"/>
        <v/>
      </c>
      <c r="H532"/>
    </row>
    <row r="533" spans="1:8">
      <c r="A533" s="113" t="e">
        <f t="shared" si="38"/>
        <v>#N/A</v>
      </c>
      <c r="B533" s="114" t="str">
        <f t="shared" si="35"/>
        <v/>
      </c>
      <c r="C533" s="115" t="str">
        <f t="shared" si="36"/>
        <v/>
      </c>
      <c r="D533" s="115" t="str">
        <f t="shared" si="37"/>
        <v/>
      </c>
      <c r="E533" s="115"/>
      <c r="F533" s="115" t="str">
        <f t="shared" si="39"/>
        <v/>
      </c>
      <c r="H533"/>
    </row>
    <row r="534" spans="1:8">
      <c r="A534" s="113" t="e">
        <f t="shared" si="38"/>
        <v>#N/A</v>
      </c>
      <c r="B534" s="114" t="str">
        <f t="shared" si="35"/>
        <v/>
      </c>
      <c r="C534" s="115" t="str">
        <f t="shared" si="36"/>
        <v/>
      </c>
      <c r="D534" s="115" t="str">
        <f t="shared" si="37"/>
        <v/>
      </c>
      <c r="E534" s="115"/>
      <c r="F534" s="115" t="str">
        <f t="shared" si="39"/>
        <v/>
      </c>
      <c r="H534"/>
    </row>
    <row r="535" spans="1:8">
      <c r="A535" s="113" t="e">
        <f t="shared" si="38"/>
        <v>#N/A</v>
      </c>
      <c r="B535" s="114" t="str">
        <f t="shared" si="35"/>
        <v/>
      </c>
      <c r="C535" s="115" t="str">
        <f t="shared" si="36"/>
        <v/>
      </c>
      <c r="D535" s="115" t="str">
        <f t="shared" si="37"/>
        <v/>
      </c>
      <c r="E535" s="115"/>
      <c r="F535" s="115" t="str">
        <f t="shared" si="39"/>
        <v/>
      </c>
      <c r="H535"/>
    </row>
    <row r="536" spans="1:8">
      <c r="A536" s="113" t="e">
        <f t="shared" si="38"/>
        <v>#N/A</v>
      </c>
      <c r="B536" s="114" t="str">
        <f t="shared" si="35"/>
        <v/>
      </c>
      <c r="C536" s="115" t="str">
        <f t="shared" si="36"/>
        <v/>
      </c>
      <c r="D536" s="115" t="str">
        <f t="shared" si="37"/>
        <v/>
      </c>
      <c r="E536" s="115"/>
      <c r="F536" s="115" t="str">
        <f t="shared" si="39"/>
        <v/>
      </c>
      <c r="H536"/>
    </row>
    <row r="537" spans="1:8">
      <c r="A537" s="113" t="e">
        <f t="shared" si="38"/>
        <v>#N/A</v>
      </c>
      <c r="B537" s="114" t="str">
        <f t="shared" si="35"/>
        <v/>
      </c>
      <c r="C537" s="115" t="str">
        <f t="shared" si="36"/>
        <v/>
      </c>
      <c r="D537" s="115" t="str">
        <f t="shared" si="37"/>
        <v/>
      </c>
      <c r="E537" s="115"/>
      <c r="F537" s="115" t="str">
        <f t="shared" si="39"/>
        <v/>
      </c>
      <c r="H537"/>
    </row>
    <row r="538" spans="1:8">
      <c r="A538" s="113" t="e">
        <f t="shared" si="38"/>
        <v>#N/A</v>
      </c>
      <c r="B538" s="114" t="str">
        <f t="shared" si="35"/>
        <v/>
      </c>
      <c r="C538" s="115" t="str">
        <f t="shared" si="36"/>
        <v/>
      </c>
      <c r="D538" s="115" t="str">
        <f t="shared" si="37"/>
        <v/>
      </c>
      <c r="E538" s="115"/>
      <c r="F538" s="115" t="str">
        <f t="shared" si="39"/>
        <v/>
      </c>
      <c r="H538"/>
    </row>
    <row r="539" spans="1:8">
      <c r="A539" s="113" t="e">
        <f t="shared" si="38"/>
        <v>#N/A</v>
      </c>
      <c r="B539" s="114" t="str">
        <f t="shared" si="35"/>
        <v/>
      </c>
      <c r="C539" s="115" t="str">
        <f t="shared" si="36"/>
        <v/>
      </c>
      <c r="D539" s="115" t="str">
        <f t="shared" si="37"/>
        <v/>
      </c>
      <c r="E539" s="115"/>
      <c r="F539" s="115" t="str">
        <f t="shared" si="39"/>
        <v/>
      </c>
      <c r="H539"/>
    </row>
    <row r="540" spans="1:8">
      <c r="A540" s="113" t="e">
        <f t="shared" si="38"/>
        <v>#N/A</v>
      </c>
      <c r="B540" s="114" t="str">
        <f t="shared" ref="B540:B603" si="40">IF(ISERROR(A540),"",IF($D$9="Annually",EDATE(B539,12),EDATE(B539,1)))</f>
        <v/>
      </c>
      <c r="C540" s="115" t="str">
        <f t="shared" ref="C540:C603" si="41">IF(ISERROR(A540),"",ROUND(F539*rper,2))</f>
        <v/>
      </c>
      <c r="D540" s="115" t="str">
        <f t="shared" ref="D540:D603" si="42">IF(ISERROR(A540),"",MIN(ROUND(F539+C540,2),ROUND(FV($G$12,IF(type=1,A540,A539),,-$D$18),2)))</f>
        <v/>
      </c>
      <c r="E540" s="115"/>
      <c r="F540" s="115" t="str">
        <f t="shared" si="39"/>
        <v/>
      </c>
      <c r="H540"/>
    </row>
    <row r="541" spans="1:8">
      <c r="A541" s="113" t="e">
        <f t="shared" ref="A541:A604" si="43">IF(OR(F540="",F540&lt;=0),NA(),A540+1)</f>
        <v>#N/A</v>
      </c>
      <c r="B541" s="114" t="str">
        <f t="shared" si="40"/>
        <v/>
      </c>
      <c r="C541" s="115" t="str">
        <f t="shared" si="41"/>
        <v/>
      </c>
      <c r="D541" s="115" t="str">
        <f t="shared" si="42"/>
        <v/>
      </c>
      <c r="E541" s="115"/>
      <c r="F541" s="115" t="str">
        <f t="shared" ref="F541:F604" si="44">IF(ISERROR(A541),"",ROUND(F540-D541-E541+C541,2))</f>
        <v/>
      </c>
      <c r="H541"/>
    </row>
    <row r="542" spans="1:8">
      <c r="A542" s="113" t="e">
        <f t="shared" si="43"/>
        <v>#N/A</v>
      </c>
      <c r="B542" s="114" t="str">
        <f t="shared" si="40"/>
        <v/>
      </c>
      <c r="C542" s="115" t="str">
        <f t="shared" si="41"/>
        <v/>
      </c>
      <c r="D542" s="115" t="str">
        <f t="shared" si="42"/>
        <v/>
      </c>
      <c r="E542" s="115"/>
      <c r="F542" s="115" t="str">
        <f t="shared" si="44"/>
        <v/>
      </c>
      <c r="H542"/>
    </row>
    <row r="543" spans="1:8">
      <c r="A543" s="113" t="e">
        <f t="shared" si="43"/>
        <v>#N/A</v>
      </c>
      <c r="B543" s="114" t="str">
        <f t="shared" si="40"/>
        <v/>
      </c>
      <c r="C543" s="115" t="str">
        <f t="shared" si="41"/>
        <v/>
      </c>
      <c r="D543" s="115" t="str">
        <f t="shared" si="42"/>
        <v/>
      </c>
      <c r="E543" s="115"/>
      <c r="F543" s="115" t="str">
        <f t="shared" si="44"/>
        <v/>
      </c>
      <c r="H543"/>
    </row>
    <row r="544" spans="1:8">
      <c r="A544" s="113" t="e">
        <f t="shared" si="43"/>
        <v>#N/A</v>
      </c>
      <c r="B544" s="114" t="str">
        <f t="shared" si="40"/>
        <v/>
      </c>
      <c r="C544" s="115" t="str">
        <f t="shared" si="41"/>
        <v/>
      </c>
      <c r="D544" s="115" t="str">
        <f t="shared" si="42"/>
        <v/>
      </c>
      <c r="E544" s="115"/>
      <c r="F544" s="115" t="str">
        <f t="shared" si="44"/>
        <v/>
      </c>
      <c r="H544"/>
    </row>
    <row r="545" spans="1:8">
      <c r="A545" s="113" t="e">
        <f t="shared" si="43"/>
        <v>#N/A</v>
      </c>
      <c r="B545" s="114" t="str">
        <f t="shared" si="40"/>
        <v/>
      </c>
      <c r="C545" s="115" t="str">
        <f t="shared" si="41"/>
        <v/>
      </c>
      <c r="D545" s="115" t="str">
        <f t="shared" si="42"/>
        <v/>
      </c>
      <c r="E545" s="115"/>
      <c r="F545" s="115" t="str">
        <f t="shared" si="44"/>
        <v/>
      </c>
      <c r="H545"/>
    </row>
    <row r="546" spans="1:8">
      <c r="A546" s="113" t="e">
        <f t="shared" si="43"/>
        <v>#N/A</v>
      </c>
      <c r="B546" s="114" t="str">
        <f t="shared" si="40"/>
        <v/>
      </c>
      <c r="C546" s="115" t="str">
        <f t="shared" si="41"/>
        <v/>
      </c>
      <c r="D546" s="115" t="str">
        <f t="shared" si="42"/>
        <v/>
      </c>
      <c r="E546" s="115"/>
      <c r="F546" s="115" t="str">
        <f t="shared" si="44"/>
        <v/>
      </c>
      <c r="H546"/>
    </row>
    <row r="547" spans="1:8">
      <c r="A547" s="113" t="e">
        <f t="shared" si="43"/>
        <v>#N/A</v>
      </c>
      <c r="B547" s="114" t="str">
        <f t="shared" si="40"/>
        <v/>
      </c>
      <c r="C547" s="115" t="str">
        <f t="shared" si="41"/>
        <v/>
      </c>
      <c r="D547" s="115" t="str">
        <f t="shared" si="42"/>
        <v/>
      </c>
      <c r="E547" s="115"/>
      <c r="F547" s="115" t="str">
        <f t="shared" si="44"/>
        <v/>
      </c>
      <c r="H547"/>
    </row>
    <row r="548" spans="1:8">
      <c r="A548" s="113" t="e">
        <f t="shared" si="43"/>
        <v>#N/A</v>
      </c>
      <c r="B548" s="114" t="str">
        <f t="shared" si="40"/>
        <v/>
      </c>
      <c r="C548" s="115" t="str">
        <f t="shared" si="41"/>
        <v/>
      </c>
      <c r="D548" s="115" t="str">
        <f t="shared" si="42"/>
        <v/>
      </c>
      <c r="E548" s="115"/>
      <c r="F548" s="115" t="str">
        <f t="shared" si="44"/>
        <v/>
      </c>
      <c r="H548"/>
    </row>
    <row r="549" spans="1:8">
      <c r="A549" s="113" t="e">
        <f t="shared" si="43"/>
        <v>#N/A</v>
      </c>
      <c r="B549" s="114" t="str">
        <f t="shared" si="40"/>
        <v/>
      </c>
      <c r="C549" s="115" t="str">
        <f t="shared" si="41"/>
        <v/>
      </c>
      <c r="D549" s="115" t="str">
        <f t="shared" si="42"/>
        <v/>
      </c>
      <c r="E549" s="115"/>
      <c r="F549" s="115" t="str">
        <f t="shared" si="44"/>
        <v/>
      </c>
      <c r="H549"/>
    </row>
    <row r="550" spans="1:8">
      <c r="A550" s="113" t="e">
        <f t="shared" si="43"/>
        <v>#N/A</v>
      </c>
      <c r="B550" s="114" t="str">
        <f t="shared" si="40"/>
        <v/>
      </c>
      <c r="C550" s="115" t="str">
        <f t="shared" si="41"/>
        <v/>
      </c>
      <c r="D550" s="115" t="str">
        <f t="shared" si="42"/>
        <v/>
      </c>
      <c r="E550" s="115"/>
      <c r="F550" s="115" t="str">
        <f t="shared" si="44"/>
        <v/>
      </c>
      <c r="H550"/>
    </row>
    <row r="551" spans="1:8">
      <c r="A551" s="113" t="e">
        <f t="shared" si="43"/>
        <v>#N/A</v>
      </c>
      <c r="B551" s="114" t="str">
        <f t="shared" si="40"/>
        <v/>
      </c>
      <c r="C551" s="115" t="str">
        <f t="shared" si="41"/>
        <v/>
      </c>
      <c r="D551" s="115" t="str">
        <f t="shared" si="42"/>
        <v/>
      </c>
      <c r="E551" s="115"/>
      <c r="F551" s="115" t="str">
        <f t="shared" si="44"/>
        <v/>
      </c>
      <c r="H551"/>
    </row>
    <row r="552" spans="1:8">
      <c r="A552" s="113" t="e">
        <f t="shared" si="43"/>
        <v>#N/A</v>
      </c>
      <c r="B552" s="114" t="str">
        <f t="shared" si="40"/>
        <v/>
      </c>
      <c r="C552" s="115" t="str">
        <f t="shared" si="41"/>
        <v/>
      </c>
      <c r="D552" s="115" t="str">
        <f t="shared" si="42"/>
        <v/>
      </c>
      <c r="E552" s="115"/>
      <c r="F552" s="115" t="str">
        <f t="shared" si="44"/>
        <v/>
      </c>
      <c r="H552"/>
    </row>
    <row r="553" spans="1:8">
      <c r="A553" s="113" t="e">
        <f t="shared" si="43"/>
        <v>#N/A</v>
      </c>
      <c r="B553" s="114" t="str">
        <f t="shared" si="40"/>
        <v/>
      </c>
      <c r="C553" s="115" t="str">
        <f t="shared" si="41"/>
        <v/>
      </c>
      <c r="D553" s="115" t="str">
        <f t="shared" si="42"/>
        <v/>
      </c>
      <c r="E553" s="115"/>
      <c r="F553" s="115" t="str">
        <f t="shared" si="44"/>
        <v/>
      </c>
      <c r="H553"/>
    </row>
    <row r="554" spans="1:8">
      <c r="A554" s="113" t="e">
        <f t="shared" si="43"/>
        <v>#N/A</v>
      </c>
      <c r="B554" s="114" t="str">
        <f t="shared" si="40"/>
        <v/>
      </c>
      <c r="C554" s="115" t="str">
        <f t="shared" si="41"/>
        <v/>
      </c>
      <c r="D554" s="115" t="str">
        <f t="shared" si="42"/>
        <v/>
      </c>
      <c r="E554" s="115"/>
      <c r="F554" s="115" t="str">
        <f t="shared" si="44"/>
        <v/>
      </c>
      <c r="H554"/>
    </row>
    <row r="555" spans="1:8">
      <c r="A555" s="113" t="e">
        <f t="shared" si="43"/>
        <v>#N/A</v>
      </c>
      <c r="B555" s="114" t="str">
        <f t="shared" si="40"/>
        <v/>
      </c>
      <c r="C555" s="115" t="str">
        <f t="shared" si="41"/>
        <v/>
      </c>
      <c r="D555" s="115" t="str">
        <f t="shared" si="42"/>
        <v/>
      </c>
      <c r="E555" s="115"/>
      <c r="F555" s="115" t="str">
        <f t="shared" si="44"/>
        <v/>
      </c>
      <c r="H555"/>
    </row>
    <row r="556" spans="1:8">
      <c r="A556" s="113" t="e">
        <f t="shared" si="43"/>
        <v>#N/A</v>
      </c>
      <c r="B556" s="114" t="str">
        <f t="shared" si="40"/>
        <v/>
      </c>
      <c r="C556" s="115" t="str">
        <f t="shared" si="41"/>
        <v/>
      </c>
      <c r="D556" s="115" t="str">
        <f t="shared" si="42"/>
        <v/>
      </c>
      <c r="E556" s="115"/>
      <c r="F556" s="115" t="str">
        <f t="shared" si="44"/>
        <v/>
      </c>
      <c r="H556"/>
    </row>
    <row r="557" spans="1:8">
      <c r="A557" s="113" t="e">
        <f t="shared" si="43"/>
        <v>#N/A</v>
      </c>
      <c r="B557" s="114" t="str">
        <f t="shared" si="40"/>
        <v/>
      </c>
      <c r="C557" s="115" t="str">
        <f t="shared" si="41"/>
        <v/>
      </c>
      <c r="D557" s="115" t="str">
        <f t="shared" si="42"/>
        <v/>
      </c>
      <c r="E557" s="115"/>
      <c r="F557" s="115" t="str">
        <f t="shared" si="44"/>
        <v/>
      </c>
      <c r="H557"/>
    </row>
    <row r="558" spans="1:8">
      <c r="A558" s="113" t="e">
        <f t="shared" si="43"/>
        <v>#N/A</v>
      </c>
      <c r="B558" s="114" t="str">
        <f t="shared" si="40"/>
        <v/>
      </c>
      <c r="C558" s="115" t="str">
        <f t="shared" si="41"/>
        <v/>
      </c>
      <c r="D558" s="115" t="str">
        <f t="shared" si="42"/>
        <v/>
      </c>
      <c r="E558" s="115"/>
      <c r="F558" s="115" t="str">
        <f t="shared" si="44"/>
        <v/>
      </c>
      <c r="H558"/>
    </row>
    <row r="559" spans="1:8">
      <c r="A559" s="113" t="e">
        <f t="shared" si="43"/>
        <v>#N/A</v>
      </c>
      <c r="B559" s="114" t="str">
        <f t="shared" si="40"/>
        <v/>
      </c>
      <c r="C559" s="115" t="str">
        <f t="shared" si="41"/>
        <v/>
      </c>
      <c r="D559" s="115" t="str">
        <f t="shared" si="42"/>
        <v/>
      </c>
      <c r="E559" s="115"/>
      <c r="F559" s="115" t="str">
        <f t="shared" si="44"/>
        <v/>
      </c>
      <c r="H559"/>
    </row>
    <row r="560" spans="1:8">
      <c r="A560" s="113" t="e">
        <f t="shared" si="43"/>
        <v>#N/A</v>
      </c>
      <c r="B560" s="114" t="str">
        <f t="shared" si="40"/>
        <v/>
      </c>
      <c r="C560" s="115" t="str">
        <f t="shared" si="41"/>
        <v/>
      </c>
      <c r="D560" s="115" t="str">
        <f t="shared" si="42"/>
        <v/>
      </c>
      <c r="E560" s="115"/>
      <c r="F560" s="115" t="str">
        <f t="shared" si="44"/>
        <v/>
      </c>
      <c r="H560"/>
    </row>
    <row r="561" spans="1:8">
      <c r="A561" s="113" t="e">
        <f t="shared" si="43"/>
        <v>#N/A</v>
      </c>
      <c r="B561" s="114" t="str">
        <f t="shared" si="40"/>
        <v/>
      </c>
      <c r="C561" s="115" t="str">
        <f t="shared" si="41"/>
        <v/>
      </c>
      <c r="D561" s="115" t="str">
        <f t="shared" si="42"/>
        <v/>
      </c>
      <c r="E561" s="115"/>
      <c r="F561" s="115" t="str">
        <f t="shared" si="44"/>
        <v/>
      </c>
      <c r="H561"/>
    </row>
    <row r="562" spans="1:8">
      <c r="A562" s="113" t="e">
        <f t="shared" si="43"/>
        <v>#N/A</v>
      </c>
      <c r="B562" s="114" t="str">
        <f t="shared" si="40"/>
        <v/>
      </c>
      <c r="C562" s="115" t="str">
        <f t="shared" si="41"/>
        <v/>
      </c>
      <c r="D562" s="115" t="str">
        <f t="shared" si="42"/>
        <v/>
      </c>
      <c r="E562" s="115"/>
      <c r="F562" s="115" t="str">
        <f t="shared" si="44"/>
        <v/>
      </c>
      <c r="H562"/>
    </row>
    <row r="563" spans="1:8">
      <c r="A563" s="113" t="e">
        <f t="shared" si="43"/>
        <v>#N/A</v>
      </c>
      <c r="B563" s="114" t="str">
        <f t="shared" si="40"/>
        <v/>
      </c>
      <c r="C563" s="115" t="str">
        <f t="shared" si="41"/>
        <v/>
      </c>
      <c r="D563" s="115" t="str">
        <f t="shared" si="42"/>
        <v/>
      </c>
      <c r="E563" s="115"/>
      <c r="F563" s="115" t="str">
        <f t="shared" si="44"/>
        <v/>
      </c>
      <c r="H563"/>
    </row>
    <row r="564" spans="1:8">
      <c r="A564" s="113" t="e">
        <f t="shared" si="43"/>
        <v>#N/A</v>
      </c>
      <c r="B564" s="114" t="str">
        <f t="shared" si="40"/>
        <v/>
      </c>
      <c r="C564" s="115" t="str">
        <f t="shared" si="41"/>
        <v/>
      </c>
      <c r="D564" s="115" t="str">
        <f t="shared" si="42"/>
        <v/>
      </c>
      <c r="E564" s="115"/>
      <c r="F564" s="115" t="str">
        <f t="shared" si="44"/>
        <v/>
      </c>
      <c r="H564"/>
    </row>
    <row r="565" spans="1:8">
      <c r="A565" s="113" t="e">
        <f t="shared" si="43"/>
        <v>#N/A</v>
      </c>
      <c r="B565" s="114" t="str">
        <f t="shared" si="40"/>
        <v/>
      </c>
      <c r="C565" s="115" t="str">
        <f t="shared" si="41"/>
        <v/>
      </c>
      <c r="D565" s="115" t="str">
        <f t="shared" si="42"/>
        <v/>
      </c>
      <c r="E565" s="115"/>
      <c r="F565" s="115" t="str">
        <f t="shared" si="44"/>
        <v/>
      </c>
      <c r="H565"/>
    </row>
    <row r="566" spans="1:8">
      <c r="A566" s="113" t="e">
        <f t="shared" si="43"/>
        <v>#N/A</v>
      </c>
      <c r="B566" s="114" t="str">
        <f t="shared" si="40"/>
        <v/>
      </c>
      <c r="C566" s="115" t="str">
        <f t="shared" si="41"/>
        <v/>
      </c>
      <c r="D566" s="115" t="str">
        <f t="shared" si="42"/>
        <v/>
      </c>
      <c r="E566" s="115"/>
      <c r="F566" s="115" t="str">
        <f t="shared" si="44"/>
        <v/>
      </c>
      <c r="H566"/>
    </row>
    <row r="567" spans="1:8">
      <c r="A567" s="113" t="e">
        <f t="shared" si="43"/>
        <v>#N/A</v>
      </c>
      <c r="B567" s="114" t="str">
        <f t="shared" si="40"/>
        <v/>
      </c>
      <c r="C567" s="115" t="str">
        <f t="shared" si="41"/>
        <v/>
      </c>
      <c r="D567" s="115" t="str">
        <f t="shared" si="42"/>
        <v/>
      </c>
      <c r="E567" s="115"/>
      <c r="F567" s="115" t="str">
        <f t="shared" si="44"/>
        <v/>
      </c>
      <c r="H567"/>
    </row>
    <row r="568" spans="1:8">
      <c r="A568" s="113" t="e">
        <f t="shared" si="43"/>
        <v>#N/A</v>
      </c>
      <c r="B568" s="114" t="str">
        <f t="shared" si="40"/>
        <v/>
      </c>
      <c r="C568" s="115" t="str">
        <f t="shared" si="41"/>
        <v/>
      </c>
      <c r="D568" s="115" t="str">
        <f t="shared" si="42"/>
        <v/>
      </c>
      <c r="E568" s="115"/>
      <c r="F568" s="115" t="str">
        <f t="shared" si="44"/>
        <v/>
      </c>
      <c r="H568"/>
    </row>
    <row r="569" spans="1:8">
      <c r="A569" s="113" t="e">
        <f t="shared" si="43"/>
        <v>#N/A</v>
      </c>
      <c r="B569" s="114" t="str">
        <f t="shared" si="40"/>
        <v/>
      </c>
      <c r="C569" s="115" t="str">
        <f t="shared" si="41"/>
        <v/>
      </c>
      <c r="D569" s="115" t="str">
        <f t="shared" si="42"/>
        <v/>
      </c>
      <c r="E569" s="115"/>
      <c r="F569" s="115" t="str">
        <f t="shared" si="44"/>
        <v/>
      </c>
      <c r="H569"/>
    </row>
    <row r="570" spans="1:8">
      <c r="A570" s="113" t="e">
        <f t="shared" si="43"/>
        <v>#N/A</v>
      </c>
      <c r="B570" s="114" t="str">
        <f t="shared" si="40"/>
        <v/>
      </c>
      <c r="C570" s="115" t="str">
        <f t="shared" si="41"/>
        <v/>
      </c>
      <c r="D570" s="115" t="str">
        <f t="shared" si="42"/>
        <v/>
      </c>
      <c r="E570" s="115"/>
      <c r="F570" s="115" t="str">
        <f t="shared" si="44"/>
        <v/>
      </c>
      <c r="H570"/>
    </row>
    <row r="571" spans="1:8">
      <c r="A571" s="113" t="e">
        <f t="shared" si="43"/>
        <v>#N/A</v>
      </c>
      <c r="B571" s="114" t="str">
        <f t="shared" si="40"/>
        <v/>
      </c>
      <c r="C571" s="115" t="str">
        <f t="shared" si="41"/>
        <v/>
      </c>
      <c r="D571" s="115" t="str">
        <f t="shared" si="42"/>
        <v/>
      </c>
      <c r="E571" s="115"/>
      <c r="F571" s="115" t="str">
        <f t="shared" si="44"/>
        <v/>
      </c>
      <c r="H571"/>
    </row>
    <row r="572" spans="1:8">
      <c r="A572" s="113" t="e">
        <f t="shared" si="43"/>
        <v>#N/A</v>
      </c>
      <c r="B572" s="114" t="str">
        <f t="shared" si="40"/>
        <v/>
      </c>
      <c r="C572" s="115" t="str">
        <f t="shared" si="41"/>
        <v/>
      </c>
      <c r="D572" s="115" t="str">
        <f t="shared" si="42"/>
        <v/>
      </c>
      <c r="E572" s="115"/>
      <c r="F572" s="115" t="str">
        <f t="shared" si="44"/>
        <v/>
      </c>
      <c r="H572"/>
    </row>
    <row r="573" spans="1:8">
      <c r="A573" s="113" t="e">
        <f t="shared" si="43"/>
        <v>#N/A</v>
      </c>
      <c r="B573" s="114" t="str">
        <f t="shared" si="40"/>
        <v/>
      </c>
      <c r="C573" s="115" t="str">
        <f t="shared" si="41"/>
        <v/>
      </c>
      <c r="D573" s="115" t="str">
        <f t="shared" si="42"/>
        <v/>
      </c>
      <c r="E573" s="115"/>
      <c r="F573" s="115" t="str">
        <f t="shared" si="44"/>
        <v/>
      </c>
      <c r="H573"/>
    </row>
    <row r="574" spans="1:8">
      <c r="A574" s="113" t="e">
        <f t="shared" si="43"/>
        <v>#N/A</v>
      </c>
      <c r="B574" s="114" t="str">
        <f t="shared" si="40"/>
        <v/>
      </c>
      <c r="C574" s="115" t="str">
        <f t="shared" si="41"/>
        <v/>
      </c>
      <c r="D574" s="115" t="str">
        <f t="shared" si="42"/>
        <v/>
      </c>
      <c r="E574" s="115"/>
      <c r="F574" s="115" t="str">
        <f t="shared" si="44"/>
        <v/>
      </c>
      <c r="H574"/>
    </row>
    <row r="575" spans="1:8">
      <c r="A575" s="113" t="e">
        <f t="shared" si="43"/>
        <v>#N/A</v>
      </c>
      <c r="B575" s="114" t="str">
        <f t="shared" si="40"/>
        <v/>
      </c>
      <c r="C575" s="115" t="str">
        <f t="shared" si="41"/>
        <v/>
      </c>
      <c r="D575" s="115" t="str">
        <f t="shared" si="42"/>
        <v/>
      </c>
      <c r="E575" s="115"/>
      <c r="F575" s="115" t="str">
        <f t="shared" si="44"/>
        <v/>
      </c>
      <c r="H575"/>
    </row>
    <row r="576" spans="1:8">
      <c r="A576" s="113" t="e">
        <f t="shared" si="43"/>
        <v>#N/A</v>
      </c>
      <c r="B576" s="114" t="str">
        <f t="shared" si="40"/>
        <v/>
      </c>
      <c r="C576" s="115" t="str">
        <f t="shared" si="41"/>
        <v/>
      </c>
      <c r="D576" s="115" t="str">
        <f t="shared" si="42"/>
        <v/>
      </c>
      <c r="E576" s="115"/>
      <c r="F576" s="115" t="str">
        <f t="shared" si="44"/>
        <v/>
      </c>
      <c r="H576"/>
    </row>
    <row r="577" spans="1:8">
      <c r="A577" s="113" t="e">
        <f t="shared" si="43"/>
        <v>#N/A</v>
      </c>
      <c r="B577" s="114" t="str">
        <f t="shared" si="40"/>
        <v/>
      </c>
      <c r="C577" s="115" t="str">
        <f t="shared" si="41"/>
        <v/>
      </c>
      <c r="D577" s="115" t="str">
        <f t="shared" si="42"/>
        <v/>
      </c>
      <c r="E577" s="115"/>
      <c r="F577" s="115" t="str">
        <f t="shared" si="44"/>
        <v/>
      </c>
      <c r="H577"/>
    </row>
    <row r="578" spans="1:8">
      <c r="A578" s="113" t="e">
        <f t="shared" si="43"/>
        <v>#N/A</v>
      </c>
      <c r="B578" s="114" t="str">
        <f t="shared" si="40"/>
        <v/>
      </c>
      <c r="C578" s="115" t="str">
        <f t="shared" si="41"/>
        <v/>
      </c>
      <c r="D578" s="115" t="str">
        <f t="shared" si="42"/>
        <v/>
      </c>
      <c r="E578" s="115"/>
      <c r="F578" s="115" t="str">
        <f t="shared" si="44"/>
        <v/>
      </c>
      <c r="H578"/>
    </row>
    <row r="579" spans="1:8">
      <c r="A579" s="113" t="e">
        <f t="shared" si="43"/>
        <v>#N/A</v>
      </c>
      <c r="B579" s="114" t="str">
        <f t="shared" si="40"/>
        <v/>
      </c>
      <c r="C579" s="115" t="str">
        <f t="shared" si="41"/>
        <v/>
      </c>
      <c r="D579" s="115" t="str">
        <f t="shared" si="42"/>
        <v/>
      </c>
      <c r="E579" s="115"/>
      <c r="F579" s="115" t="str">
        <f t="shared" si="44"/>
        <v/>
      </c>
      <c r="H579"/>
    </row>
    <row r="580" spans="1:8">
      <c r="A580" s="113" t="e">
        <f t="shared" si="43"/>
        <v>#N/A</v>
      </c>
      <c r="B580" s="114" t="str">
        <f t="shared" si="40"/>
        <v/>
      </c>
      <c r="C580" s="115" t="str">
        <f t="shared" si="41"/>
        <v/>
      </c>
      <c r="D580" s="115" t="str">
        <f t="shared" si="42"/>
        <v/>
      </c>
      <c r="E580" s="115"/>
      <c r="F580" s="115" t="str">
        <f t="shared" si="44"/>
        <v/>
      </c>
      <c r="H580"/>
    </row>
    <row r="581" spans="1:8">
      <c r="A581" s="113" t="e">
        <f t="shared" si="43"/>
        <v>#N/A</v>
      </c>
      <c r="B581" s="114" t="str">
        <f t="shared" si="40"/>
        <v/>
      </c>
      <c r="C581" s="115" t="str">
        <f t="shared" si="41"/>
        <v/>
      </c>
      <c r="D581" s="115" t="str">
        <f t="shared" si="42"/>
        <v/>
      </c>
      <c r="E581" s="115"/>
      <c r="F581" s="115" t="str">
        <f t="shared" si="44"/>
        <v/>
      </c>
      <c r="H581"/>
    </row>
    <row r="582" spans="1:8">
      <c r="A582" s="113" t="e">
        <f t="shared" si="43"/>
        <v>#N/A</v>
      </c>
      <c r="B582" s="114" t="str">
        <f t="shared" si="40"/>
        <v/>
      </c>
      <c r="C582" s="115" t="str">
        <f t="shared" si="41"/>
        <v/>
      </c>
      <c r="D582" s="115" t="str">
        <f t="shared" si="42"/>
        <v/>
      </c>
      <c r="E582" s="115"/>
      <c r="F582" s="115" t="str">
        <f t="shared" si="44"/>
        <v/>
      </c>
      <c r="H582"/>
    </row>
    <row r="583" spans="1:8">
      <c r="A583" s="113" t="e">
        <f t="shared" si="43"/>
        <v>#N/A</v>
      </c>
      <c r="B583" s="114" t="str">
        <f t="shared" si="40"/>
        <v/>
      </c>
      <c r="C583" s="115" t="str">
        <f t="shared" si="41"/>
        <v/>
      </c>
      <c r="D583" s="115" t="str">
        <f t="shared" si="42"/>
        <v/>
      </c>
      <c r="E583" s="115"/>
      <c r="F583" s="115" t="str">
        <f t="shared" si="44"/>
        <v/>
      </c>
      <c r="H583"/>
    </row>
    <row r="584" spans="1:8">
      <c r="A584" s="113" t="e">
        <f t="shared" si="43"/>
        <v>#N/A</v>
      </c>
      <c r="B584" s="114" t="str">
        <f t="shared" si="40"/>
        <v/>
      </c>
      <c r="C584" s="115" t="str">
        <f t="shared" si="41"/>
        <v/>
      </c>
      <c r="D584" s="115" t="str">
        <f t="shared" si="42"/>
        <v/>
      </c>
      <c r="E584" s="115"/>
      <c r="F584" s="115" t="str">
        <f t="shared" si="44"/>
        <v/>
      </c>
      <c r="H584"/>
    </row>
    <row r="585" spans="1:8">
      <c r="A585" s="113" t="e">
        <f t="shared" si="43"/>
        <v>#N/A</v>
      </c>
      <c r="B585" s="114" t="str">
        <f t="shared" si="40"/>
        <v/>
      </c>
      <c r="C585" s="115" t="str">
        <f t="shared" si="41"/>
        <v/>
      </c>
      <c r="D585" s="115" t="str">
        <f t="shared" si="42"/>
        <v/>
      </c>
      <c r="E585" s="115"/>
      <c r="F585" s="115" t="str">
        <f t="shared" si="44"/>
        <v/>
      </c>
      <c r="H585"/>
    </row>
    <row r="586" spans="1:8">
      <c r="A586" s="113" t="e">
        <f t="shared" si="43"/>
        <v>#N/A</v>
      </c>
      <c r="B586" s="114" t="str">
        <f t="shared" si="40"/>
        <v/>
      </c>
      <c r="C586" s="115" t="str">
        <f t="shared" si="41"/>
        <v/>
      </c>
      <c r="D586" s="115" t="str">
        <f t="shared" si="42"/>
        <v/>
      </c>
      <c r="E586" s="115"/>
      <c r="F586" s="115" t="str">
        <f t="shared" si="44"/>
        <v/>
      </c>
      <c r="H586"/>
    </row>
    <row r="587" spans="1:8">
      <c r="A587" s="113" t="e">
        <f t="shared" si="43"/>
        <v>#N/A</v>
      </c>
      <c r="B587" s="114" t="str">
        <f t="shared" si="40"/>
        <v/>
      </c>
      <c r="C587" s="115" t="str">
        <f t="shared" si="41"/>
        <v/>
      </c>
      <c r="D587" s="115" t="str">
        <f t="shared" si="42"/>
        <v/>
      </c>
      <c r="E587" s="115"/>
      <c r="F587" s="115" t="str">
        <f t="shared" si="44"/>
        <v/>
      </c>
      <c r="H587"/>
    </row>
    <row r="588" spans="1:8">
      <c r="A588" s="113" t="e">
        <f t="shared" si="43"/>
        <v>#N/A</v>
      </c>
      <c r="B588" s="114" t="str">
        <f t="shared" si="40"/>
        <v/>
      </c>
      <c r="C588" s="115" t="str">
        <f t="shared" si="41"/>
        <v/>
      </c>
      <c r="D588" s="115" t="str">
        <f t="shared" si="42"/>
        <v/>
      </c>
      <c r="E588" s="115"/>
      <c r="F588" s="115" t="str">
        <f t="shared" si="44"/>
        <v/>
      </c>
      <c r="H588"/>
    </row>
    <row r="589" spans="1:8">
      <c r="A589" s="113" t="e">
        <f t="shared" si="43"/>
        <v>#N/A</v>
      </c>
      <c r="B589" s="114" t="str">
        <f t="shared" si="40"/>
        <v/>
      </c>
      <c r="C589" s="115" t="str">
        <f t="shared" si="41"/>
        <v/>
      </c>
      <c r="D589" s="115" t="str">
        <f t="shared" si="42"/>
        <v/>
      </c>
      <c r="E589" s="115"/>
      <c r="F589" s="115" t="str">
        <f t="shared" si="44"/>
        <v/>
      </c>
      <c r="H589"/>
    </row>
    <row r="590" spans="1:8">
      <c r="A590" s="113" t="e">
        <f t="shared" si="43"/>
        <v>#N/A</v>
      </c>
      <c r="B590" s="114" t="str">
        <f t="shared" si="40"/>
        <v/>
      </c>
      <c r="C590" s="115" t="str">
        <f t="shared" si="41"/>
        <v/>
      </c>
      <c r="D590" s="115" t="str">
        <f t="shared" si="42"/>
        <v/>
      </c>
      <c r="E590" s="115"/>
      <c r="F590" s="115" t="str">
        <f t="shared" si="44"/>
        <v/>
      </c>
      <c r="H590"/>
    </row>
    <row r="591" spans="1:8">
      <c r="A591" s="113" t="e">
        <f t="shared" si="43"/>
        <v>#N/A</v>
      </c>
      <c r="B591" s="114" t="str">
        <f t="shared" si="40"/>
        <v/>
      </c>
      <c r="C591" s="115" t="str">
        <f t="shared" si="41"/>
        <v/>
      </c>
      <c r="D591" s="115" t="str">
        <f t="shared" si="42"/>
        <v/>
      </c>
      <c r="E591" s="115"/>
      <c r="F591" s="115" t="str">
        <f t="shared" si="44"/>
        <v/>
      </c>
      <c r="H591"/>
    </row>
    <row r="592" spans="1:8">
      <c r="A592" s="113" t="e">
        <f t="shared" si="43"/>
        <v>#N/A</v>
      </c>
      <c r="B592" s="114" t="str">
        <f t="shared" si="40"/>
        <v/>
      </c>
      <c r="C592" s="115" t="str">
        <f t="shared" si="41"/>
        <v/>
      </c>
      <c r="D592" s="115" t="str">
        <f t="shared" si="42"/>
        <v/>
      </c>
      <c r="E592" s="115"/>
      <c r="F592" s="115" t="str">
        <f t="shared" si="44"/>
        <v/>
      </c>
      <c r="H592"/>
    </row>
    <row r="593" spans="1:8">
      <c r="A593" s="113" t="e">
        <f t="shared" si="43"/>
        <v>#N/A</v>
      </c>
      <c r="B593" s="114" t="str">
        <f t="shared" si="40"/>
        <v/>
      </c>
      <c r="C593" s="115" t="str">
        <f t="shared" si="41"/>
        <v/>
      </c>
      <c r="D593" s="115" t="str">
        <f t="shared" si="42"/>
        <v/>
      </c>
      <c r="E593" s="115"/>
      <c r="F593" s="115" t="str">
        <f t="shared" si="44"/>
        <v/>
      </c>
      <c r="H593"/>
    </row>
    <row r="594" spans="1:8">
      <c r="A594" s="113" t="e">
        <f t="shared" si="43"/>
        <v>#N/A</v>
      </c>
      <c r="B594" s="114" t="str">
        <f t="shared" si="40"/>
        <v/>
      </c>
      <c r="C594" s="115" t="str">
        <f t="shared" si="41"/>
        <v/>
      </c>
      <c r="D594" s="115" t="str">
        <f t="shared" si="42"/>
        <v/>
      </c>
      <c r="E594" s="115"/>
      <c r="F594" s="115" t="str">
        <f t="shared" si="44"/>
        <v/>
      </c>
      <c r="H594"/>
    </row>
    <row r="595" spans="1:8">
      <c r="A595" s="113" t="e">
        <f t="shared" si="43"/>
        <v>#N/A</v>
      </c>
      <c r="B595" s="114" t="str">
        <f t="shared" si="40"/>
        <v/>
      </c>
      <c r="C595" s="115" t="str">
        <f t="shared" si="41"/>
        <v/>
      </c>
      <c r="D595" s="115" t="str">
        <f t="shared" si="42"/>
        <v/>
      </c>
      <c r="E595" s="115"/>
      <c r="F595" s="115" t="str">
        <f t="shared" si="44"/>
        <v/>
      </c>
      <c r="H595"/>
    </row>
    <row r="596" spans="1:8">
      <c r="A596" s="113" t="e">
        <f t="shared" si="43"/>
        <v>#N/A</v>
      </c>
      <c r="B596" s="114" t="str">
        <f t="shared" si="40"/>
        <v/>
      </c>
      <c r="C596" s="115" t="str">
        <f t="shared" si="41"/>
        <v/>
      </c>
      <c r="D596" s="115" t="str">
        <f t="shared" si="42"/>
        <v/>
      </c>
      <c r="E596" s="115"/>
      <c r="F596" s="115" t="str">
        <f t="shared" si="44"/>
        <v/>
      </c>
      <c r="H596"/>
    </row>
    <row r="597" spans="1:8">
      <c r="A597" s="113" t="e">
        <f t="shared" si="43"/>
        <v>#N/A</v>
      </c>
      <c r="B597" s="114" t="str">
        <f t="shared" si="40"/>
        <v/>
      </c>
      <c r="C597" s="115" t="str">
        <f t="shared" si="41"/>
        <v/>
      </c>
      <c r="D597" s="115" t="str">
        <f t="shared" si="42"/>
        <v/>
      </c>
      <c r="E597" s="115"/>
      <c r="F597" s="115" t="str">
        <f t="shared" si="44"/>
        <v/>
      </c>
      <c r="H597"/>
    </row>
    <row r="598" spans="1:8">
      <c r="A598" s="113" t="e">
        <f t="shared" si="43"/>
        <v>#N/A</v>
      </c>
      <c r="B598" s="114" t="str">
        <f t="shared" si="40"/>
        <v/>
      </c>
      <c r="C598" s="115" t="str">
        <f t="shared" si="41"/>
        <v/>
      </c>
      <c r="D598" s="115" t="str">
        <f t="shared" si="42"/>
        <v/>
      </c>
      <c r="E598" s="115"/>
      <c r="F598" s="115" t="str">
        <f t="shared" si="44"/>
        <v/>
      </c>
      <c r="H598"/>
    </row>
    <row r="599" spans="1:8">
      <c r="A599" s="113" t="e">
        <f t="shared" si="43"/>
        <v>#N/A</v>
      </c>
      <c r="B599" s="114" t="str">
        <f t="shared" si="40"/>
        <v/>
      </c>
      <c r="C599" s="115" t="str">
        <f t="shared" si="41"/>
        <v/>
      </c>
      <c r="D599" s="115" t="str">
        <f t="shared" si="42"/>
        <v/>
      </c>
      <c r="E599" s="115"/>
      <c r="F599" s="115" t="str">
        <f t="shared" si="44"/>
        <v/>
      </c>
      <c r="H599"/>
    </row>
    <row r="600" spans="1:8">
      <c r="A600" s="113" t="e">
        <f t="shared" si="43"/>
        <v>#N/A</v>
      </c>
      <c r="B600" s="114" t="str">
        <f t="shared" si="40"/>
        <v/>
      </c>
      <c r="C600" s="115" t="str">
        <f t="shared" si="41"/>
        <v/>
      </c>
      <c r="D600" s="115" t="str">
        <f t="shared" si="42"/>
        <v/>
      </c>
      <c r="E600" s="115"/>
      <c r="F600" s="115" t="str">
        <f t="shared" si="44"/>
        <v/>
      </c>
      <c r="H600"/>
    </row>
    <row r="601" spans="1:8">
      <c r="A601" s="113" t="e">
        <f t="shared" si="43"/>
        <v>#N/A</v>
      </c>
      <c r="B601" s="114" t="str">
        <f t="shared" si="40"/>
        <v/>
      </c>
      <c r="C601" s="115" t="str">
        <f t="shared" si="41"/>
        <v/>
      </c>
      <c r="D601" s="115" t="str">
        <f t="shared" si="42"/>
        <v/>
      </c>
      <c r="E601" s="115"/>
      <c r="F601" s="115" t="str">
        <f t="shared" si="44"/>
        <v/>
      </c>
      <c r="H601"/>
    </row>
    <row r="602" spans="1:8">
      <c r="A602" s="113" t="e">
        <f t="shared" si="43"/>
        <v>#N/A</v>
      </c>
      <c r="B602" s="114" t="str">
        <f t="shared" si="40"/>
        <v/>
      </c>
      <c r="C602" s="115" t="str">
        <f t="shared" si="41"/>
        <v/>
      </c>
      <c r="D602" s="115" t="str">
        <f t="shared" si="42"/>
        <v/>
      </c>
      <c r="E602" s="115"/>
      <c r="F602" s="115" t="str">
        <f t="shared" si="44"/>
        <v/>
      </c>
      <c r="H602"/>
    </row>
    <row r="603" spans="1:8">
      <c r="A603" s="113" t="e">
        <f t="shared" si="43"/>
        <v>#N/A</v>
      </c>
      <c r="B603" s="114" t="str">
        <f t="shared" si="40"/>
        <v/>
      </c>
      <c r="C603" s="115" t="str">
        <f t="shared" si="41"/>
        <v/>
      </c>
      <c r="D603" s="115" t="str">
        <f t="shared" si="42"/>
        <v/>
      </c>
      <c r="E603" s="115"/>
      <c r="F603" s="115" t="str">
        <f t="shared" si="44"/>
        <v/>
      </c>
      <c r="H603"/>
    </row>
    <row r="604" spans="1:8">
      <c r="A604" s="113" t="e">
        <f t="shared" si="43"/>
        <v>#N/A</v>
      </c>
      <c r="B604" s="114" t="str">
        <f t="shared" ref="B604:B667" si="45">IF(ISERROR(A604),"",IF($D$9="Annually",EDATE(B603,12),EDATE(B603,1)))</f>
        <v/>
      </c>
      <c r="C604" s="115" t="str">
        <f t="shared" ref="C604:C667" si="46">IF(ISERROR(A604),"",ROUND(F603*rper,2))</f>
        <v/>
      </c>
      <c r="D604" s="115" t="str">
        <f t="shared" ref="D604:D667" si="47">IF(ISERROR(A604),"",MIN(ROUND(F603+C604,2),ROUND(FV($G$12,IF(type=1,A604,A603),,-$D$18),2)))</f>
        <v/>
      </c>
      <c r="E604" s="115"/>
      <c r="F604" s="115" t="str">
        <f t="shared" si="44"/>
        <v/>
      </c>
      <c r="H604"/>
    </row>
    <row r="605" spans="1:8">
      <c r="A605" s="113" t="e">
        <f t="shared" ref="A605:A668" si="48">IF(OR(F604="",F604&lt;=0),NA(),A604+1)</f>
        <v>#N/A</v>
      </c>
      <c r="B605" s="114" t="str">
        <f t="shared" si="45"/>
        <v/>
      </c>
      <c r="C605" s="115" t="str">
        <f t="shared" si="46"/>
        <v/>
      </c>
      <c r="D605" s="115" t="str">
        <f t="shared" si="47"/>
        <v/>
      </c>
      <c r="E605" s="115"/>
      <c r="F605" s="115" t="str">
        <f t="shared" ref="F605:F668" si="49">IF(ISERROR(A605),"",ROUND(F604-D605-E605+C605,2))</f>
        <v/>
      </c>
      <c r="H605"/>
    </row>
    <row r="606" spans="1:8">
      <c r="A606" s="113" t="e">
        <f t="shared" si="48"/>
        <v>#N/A</v>
      </c>
      <c r="B606" s="114" t="str">
        <f t="shared" si="45"/>
        <v/>
      </c>
      <c r="C606" s="115" t="str">
        <f t="shared" si="46"/>
        <v/>
      </c>
      <c r="D606" s="115" t="str">
        <f t="shared" si="47"/>
        <v/>
      </c>
      <c r="E606" s="115"/>
      <c r="F606" s="115" t="str">
        <f t="shared" si="49"/>
        <v/>
      </c>
      <c r="H606"/>
    </row>
    <row r="607" spans="1:8">
      <c r="A607" s="113" t="e">
        <f t="shared" si="48"/>
        <v>#N/A</v>
      </c>
      <c r="B607" s="114" t="str">
        <f t="shared" si="45"/>
        <v/>
      </c>
      <c r="C607" s="115" t="str">
        <f t="shared" si="46"/>
        <v/>
      </c>
      <c r="D607" s="115" t="str">
        <f t="shared" si="47"/>
        <v/>
      </c>
      <c r="E607" s="115"/>
      <c r="F607" s="115" t="str">
        <f t="shared" si="49"/>
        <v/>
      </c>
      <c r="H607"/>
    </row>
    <row r="608" spans="1:8">
      <c r="A608" s="113" t="e">
        <f t="shared" si="48"/>
        <v>#N/A</v>
      </c>
      <c r="B608" s="114" t="str">
        <f t="shared" si="45"/>
        <v/>
      </c>
      <c r="C608" s="115" t="str">
        <f t="shared" si="46"/>
        <v/>
      </c>
      <c r="D608" s="115" t="str">
        <f t="shared" si="47"/>
        <v/>
      </c>
      <c r="E608" s="115"/>
      <c r="F608" s="115" t="str">
        <f t="shared" si="49"/>
        <v/>
      </c>
      <c r="H608"/>
    </row>
    <row r="609" spans="1:8">
      <c r="A609" s="113" t="e">
        <f t="shared" si="48"/>
        <v>#N/A</v>
      </c>
      <c r="B609" s="114" t="str">
        <f t="shared" si="45"/>
        <v/>
      </c>
      <c r="C609" s="115" t="str">
        <f t="shared" si="46"/>
        <v/>
      </c>
      <c r="D609" s="115" t="str">
        <f t="shared" si="47"/>
        <v/>
      </c>
      <c r="E609" s="115"/>
      <c r="F609" s="115" t="str">
        <f t="shared" si="49"/>
        <v/>
      </c>
      <c r="H609"/>
    </row>
    <row r="610" spans="1:8">
      <c r="A610" s="113" t="e">
        <f t="shared" si="48"/>
        <v>#N/A</v>
      </c>
      <c r="B610" s="114" t="str">
        <f t="shared" si="45"/>
        <v/>
      </c>
      <c r="C610" s="115" t="str">
        <f t="shared" si="46"/>
        <v/>
      </c>
      <c r="D610" s="115" t="str">
        <f t="shared" si="47"/>
        <v/>
      </c>
      <c r="E610" s="115"/>
      <c r="F610" s="115" t="str">
        <f t="shared" si="49"/>
        <v/>
      </c>
      <c r="H610"/>
    </row>
    <row r="611" spans="1:8">
      <c r="A611" s="113" t="e">
        <f t="shared" si="48"/>
        <v>#N/A</v>
      </c>
      <c r="B611" s="114" t="str">
        <f t="shared" si="45"/>
        <v/>
      </c>
      <c r="C611" s="115" t="str">
        <f t="shared" si="46"/>
        <v/>
      </c>
      <c r="D611" s="115" t="str">
        <f t="shared" si="47"/>
        <v/>
      </c>
      <c r="E611" s="115"/>
      <c r="F611" s="115" t="str">
        <f t="shared" si="49"/>
        <v/>
      </c>
      <c r="H611"/>
    </row>
    <row r="612" spans="1:8">
      <c r="A612" s="113" t="e">
        <f t="shared" si="48"/>
        <v>#N/A</v>
      </c>
      <c r="B612" s="114" t="str">
        <f t="shared" si="45"/>
        <v/>
      </c>
      <c r="C612" s="115" t="str">
        <f t="shared" si="46"/>
        <v/>
      </c>
      <c r="D612" s="115" t="str">
        <f t="shared" si="47"/>
        <v/>
      </c>
      <c r="E612" s="115"/>
      <c r="F612" s="115" t="str">
        <f t="shared" si="49"/>
        <v/>
      </c>
      <c r="H612"/>
    </row>
    <row r="613" spans="1:8">
      <c r="A613" s="113" t="e">
        <f t="shared" si="48"/>
        <v>#N/A</v>
      </c>
      <c r="B613" s="114" t="str">
        <f t="shared" si="45"/>
        <v/>
      </c>
      <c r="C613" s="115" t="str">
        <f t="shared" si="46"/>
        <v/>
      </c>
      <c r="D613" s="115" t="str">
        <f t="shared" si="47"/>
        <v/>
      </c>
      <c r="E613" s="115"/>
      <c r="F613" s="115" t="str">
        <f t="shared" si="49"/>
        <v/>
      </c>
      <c r="H613"/>
    </row>
    <row r="614" spans="1:8">
      <c r="A614" s="113" t="e">
        <f t="shared" si="48"/>
        <v>#N/A</v>
      </c>
      <c r="B614" s="114" t="str">
        <f t="shared" si="45"/>
        <v/>
      </c>
      <c r="C614" s="115" t="str">
        <f t="shared" si="46"/>
        <v/>
      </c>
      <c r="D614" s="115" t="str">
        <f t="shared" si="47"/>
        <v/>
      </c>
      <c r="E614" s="115"/>
      <c r="F614" s="115" t="str">
        <f t="shared" si="49"/>
        <v/>
      </c>
      <c r="H614"/>
    </row>
    <row r="615" spans="1:8">
      <c r="A615" s="113" t="e">
        <f t="shared" si="48"/>
        <v>#N/A</v>
      </c>
      <c r="B615" s="114" t="str">
        <f t="shared" si="45"/>
        <v/>
      </c>
      <c r="C615" s="115" t="str">
        <f t="shared" si="46"/>
        <v/>
      </c>
      <c r="D615" s="115" t="str">
        <f t="shared" si="47"/>
        <v/>
      </c>
      <c r="E615" s="115"/>
      <c r="F615" s="115" t="str">
        <f t="shared" si="49"/>
        <v/>
      </c>
      <c r="H615"/>
    </row>
    <row r="616" spans="1:8">
      <c r="A616" s="113" t="e">
        <f t="shared" si="48"/>
        <v>#N/A</v>
      </c>
      <c r="B616" s="114" t="str">
        <f t="shared" si="45"/>
        <v/>
      </c>
      <c r="C616" s="115" t="str">
        <f t="shared" si="46"/>
        <v/>
      </c>
      <c r="D616" s="115" t="str">
        <f t="shared" si="47"/>
        <v/>
      </c>
      <c r="E616" s="115"/>
      <c r="F616" s="115" t="str">
        <f t="shared" si="49"/>
        <v/>
      </c>
      <c r="H616"/>
    </row>
    <row r="617" spans="1:8">
      <c r="A617" s="113" t="e">
        <f t="shared" si="48"/>
        <v>#N/A</v>
      </c>
      <c r="B617" s="114" t="str">
        <f t="shared" si="45"/>
        <v/>
      </c>
      <c r="C617" s="115" t="str">
        <f t="shared" si="46"/>
        <v/>
      </c>
      <c r="D617" s="115" t="str">
        <f t="shared" si="47"/>
        <v/>
      </c>
      <c r="E617" s="115"/>
      <c r="F617" s="115" t="str">
        <f t="shared" si="49"/>
        <v/>
      </c>
      <c r="H617"/>
    </row>
    <row r="618" spans="1:8">
      <c r="A618" s="113" t="e">
        <f t="shared" si="48"/>
        <v>#N/A</v>
      </c>
      <c r="B618" s="114" t="str">
        <f t="shared" si="45"/>
        <v/>
      </c>
      <c r="C618" s="115" t="str">
        <f t="shared" si="46"/>
        <v/>
      </c>
      <c r="D618" s="115" t="str">
        <f t="shared" si="47"/>
        <v/>
      </c>
      <c r="E618" s="115"/>
      <c r="F618" s="115" t="str">
        <f t="shared" si="49"/>
        <v/>
      </c>
      <c r="H618"/>
    </row>
    <row r="619" spans="1:8">
      <c r="A619" s="113" t="e">
        <f t="shared" si="48"/>
        <v>#N/A</v>
      </c>
      <c r="B619" s="114" t="str">
        <f t="shared" si="45"/>
        <v/>
      </c>
      <c r="C619" s="115" t="str">
        <f t="shared" si="46"/>
        <v/>
      </c>
      <c r="D619" s="115" t="str">
        <f t="shared" si="47"/>
        <v/>
      </c>
      <c r="E619" s="115"/>
      <c r="F619" s="115" t="str">
        <f t="shared" si="49"/>
        <v/>
      </c>
      <c r="H619"/>
    </row>
    <row r="620" spans="1:8">
      <c r="A620" s="113" t="e">
        <f t="shared" si="48"/>
        <v>#N/A</v>
      </c>
      <c r="B620" s="114" t="str">
        <f t="shared" si="45"/>
        <v/>
      </c>
      <c r="C620" s="115" t="str">
        <f t="shared" si="46"/>
        <v/>
      </c>
      <c r="D620" s="115" t="str">
        <f t="shared" si="47"/>
        <v/>
      </c>
      <c r="E620" s="115"/>
      <c r="F620" s="115" t="str">
        <f t="shared" si="49"/>
        <v/>
      </c>
      <c r="H620"/>
    </row>
    <row r="621" spans="1:8">
      <c r="A621" s="113" t="e">
        <f t="shared" si="48"/>
        <v>#N/A</v>
      </c>
      <c r="B621" s="114" t="str">
        <f t="shared" si="45"/>
        <v/>
      </c>
      <c r="C621" s="115" t="str">
        <f t="shared" si="46"/>
        <v/>
      </c>
      <c r="D621" s="115" t="str">
        <f t="shared" si="47"/>
        <v/>
      </c>
      <c r="E621" s="115"/>
      <c r="F621" s="115" t="str">
        <f t="shared" si="49"/>
        <v/>
      </c>
      <c r="H621"/>
    </row>
    <row r="622" spans="1:8">
      <c r="A622" s="113" t="e">
        <f t="shared" si="48"/>
        <v>#N/A</v>
      </c>
      <c r="B622" s="114" t="str">
        <f t="shared" si="45"/>
        <v/>
      </c>
      <c r="C622" s="115" t="str">
        <f t="shared" si="46"/>
        <v/>
      </c>
      <c r="D622" s="115" t="str">
        <f t="shared" si="47"/>
        <v/>
      </c>
      <c r="E622" s="115"/>
      <c r="F622" s="115" t="str">
        <f t="shared" si="49"/>
        <v/>
      </c>
      <c r="H622"/>
    </row>
    <row r="623" spans="1:8">
      <c r="A623" s="113" t="e">
        <f t="shared" si="48"/>
        <v>#N/A</v>
      </c>
      <c r="B623" s="114" t="str">
        <f t="shared" si="45"/>
        <v/>
      </c>
      <c r="C623" s="115" t="str">
        <f t="shared" si="46"/>
        <v/>
      </c>
      <c r="D623" s="115" t="str">
        <f t="shared" si="47"/>
        <v/>
      </c>
      <c r="E623" s="115"/>
      <c r="F623" s="115" t="str">
        <f t="shared" si="49"/>
        <v/>
      </c>
      <c r="H623"/>
    </row>
    <row r="624" spans="1:8">
      <c r="A624" s="113" t="e">
        <f t="shared" si="48"/>
        <v>#N/A</v>
      </c>
      <c r="B624" s="114" t="str">
        <f t="shared" si="45"/>
        <v/>
      </c>
      <c r="C624" s="115" t="str">
        <f t="shared" si="46"/>
        <v/>
      </c>
      <c r="D624" s="115" t="str">
        <f t="shared" si="47"/>
        <v/>
      </c>
      <c r="E624" s="115"/>
      <c r="F624" s="115" t="str">
        <f t="shared" si="49"/>
        <v/>
      </c>
      <c r="H624"/>
    </row>
    <row r="625" spans="1:8">
      <c r="A625" s="113" t="e">
        <f t="shared" si="48"/>
        <v>#N/A</v>
      </c>
      <c r="B625" s="114" t="str">
        <f t="shared" si="45"/>
        <v/>
      </c>
      <c r="C625" s="115" t="str">
        <f t="shared" si="46"/>
        <v/>
      </c>
      <c r="D625" s="115" t="str">
        <f t="shared" si="47"/>
        <v/>
      </c>
      <c r="E625" s="115"/>
      <c r="F625" s="115" t="str">
        <f t="shared" si="49"/>
        <v/>
      </c>
      <c r="H625"/>
    </row>
    <row r="626" spans="1:8">
      <c r="A626" s="113" t="e">
        <f t="shared" si="48"/>
        <v>#N/A</v>
      </c>
      <c r="B626" s="114" t="str">
        <f t="shared" si="45"/>
        <v/>
      </c>
      <c r="C626" s="115" t="str">
        <f t="shared" si="46"/>
        <v/>
      </c>
      <c r="D626" s="115" t="str">
        <f t="shared" si="47"/>
        <v/>
      </c>
      <c r="E626" s="115"/>
      <c r="F626" s="115" t="str">
        <f t="shared" si="49"/>
        <v/>
      </c>
      <c r="H626"/>
    </row>
    <row r="627" spans="1:8">
      <c r="A627" s="113" t="e">
        <f t="shared" si="48"/>
        <v>#N/A</v>
      </c>
      <c r="B627" s="114" t="str">
        <f t="shared" si="45"/>
        <v/>
      </c>
      <c r="C627" s="115" t="str">
        <f t="shared" si="46"/>
        <v/>
      </c>
      <c r="D627" s="115" t="str">
        <f t="shared" si="47"/>
        <v/>
      </c>
      <c r="E627" s="115"/>
      <c r="F627" s="115" t="str">
        <f t="shared" si="49"/>
        <v/>
      </c>
      <c r="H627"/>
    </row>
    <row r="628" spans="1:8">
      <c r="A628" s="113" t="e">
        <f t="shared" si="48"/>
        <v>#N/A</v>
      </c>
      <c r="B628" s="114" t="str">
        <f t="shared" si="45"/>
        <v/>
      </c>
      <c r="C628" s="115" t="str">
        <f t="shared" si="46"/>
        <v/>
      </c>
      <c r="D628" s="115" t="str">
        <f t="shared" si="47"/>
        <v/>
      </c>
      <c r="E628" s="115"/>
      <c r="F628" s="115" t="str">
        <f t="shared" si="49"/>
        <v/>
      </c>
      <c r="H628"/>
    </row>
    <row r="629" spans="1:8">
      <c r="A629" s="113" t="e">
        <f t="shared" si="48"/>
        <v>#N/A</v>
      </c>
      <c r="B629" s="114" t="str">
        <f t="shared" si="45"/>
        <v/>
      </c>
      <c r="C629" s="115" t="str">
        <f t="shared" si="46"/>
        <v/>
      </c>
      <c r="D629" s="115" t="str">
        <f t="shared" si="47"/>
        <v/>
      </c>
      <c r="E629" s="115"/>
      <c r="F629" s="115" t="str">
        <f t="shared" si="49"/>
        <v/>
      </c>
      <c r="H629"/>
    </row>
    <row r="630" spans="1:8">
      <c r="A630" s="113" t="e">
        <f t="shared" si="48"/>
        <v>#N/A</v>
      </c>
      <c r="B630" s="114" t="str">
        <f t="shared" si="45"/>
        <v/>
      </c>
      <c r="C630" s="115" t="str">
        <f t="shared" si="46"/>
        <v/>
      </c>
      <c r="D630" s="115" t="str">
        <f t="shared" si="47"/>
        <v/>
      </c>
      <c r="E630" s="115"/>
      <c r="F630" s="115" t="str">
        <f t="shared" si="49"/>
        <v/>
      </c>
      <c r="H630"/>
    </row>
    <row r="631" spans="1:8">
      <c r="A631" s="113" t="e">
        <f t="shared" si="48"/>
        <v>#N/A</v>
      </c>
      <c r="B631" s="114" t="str">
        <f t="shared" si="45"/>
        <v/>
      </c>
      <c r="C631" s="115" t="str">
        <f t="shared" si="46"/>
        <v/>
      </c>
      <c r="D631" s="115" t="str">
        <f t="shared" si="47"/>
        <v/>
      </c>
      <c r="E631" s="115"/>
      <c r="F631" s="115" t="str">
        <f t="shared" si="49"/>
        <v/>
      </c>
      <c r="H631"/>
    </row>
    <row r="632" spans="1:8">
      <c r="A632" s="113" t="e">
        <f t="shared" si="48"/>
        <v>#N/A</v>
      </c>
      <c r="B632" s="114" t="str">
        <f t="shared" si="45"/>
        <v/>
      </c>
      <c r="C632" s="115" t="str">
        <f t="shared" si="46"/>
        <v/>
      </c>
      <c r="D632" s="115" t="str">
        <f t="shared" si="47"/>
        <v/>
      </c>
      <c r="E632" s="115"/>
      <c r="F632" s="115" t="str">
        <f t="shared" si="49"/>
        <v/>
      </c>
      <c r="H632"/>
    </row>
    <row r="633" spans="1:8">
      <c r="A633" s="113" t="e">
        <f t="shared" si="48"/>
        <v>#N/A</v>
      </c>
      <c r="B633" s="114" t="str">
        <f t="shared" si="45"/>
        <v/>
      </c>
      <c r="C633" s="115" t="str">
        <f t="shared" si="46"/>
        <v/>
      </c>
      <c r="D633" s="115" t="str">
        <f t="shared" si="47"/>
        <v/>
      </c>
      <c r="E633" s="115"/>
      <c r="F633" s="115" t="str">
        <f t="shared" si="49"/>
        <v/>
      </c>
      <c r="H633"/>
    </row>
    <row r="634" spans="1:8">
      <c r="A634" s="113" t="e">
        <f t="shared" si="48"/>
        <v>#N/A</v>
      </c>
      <c r="B634" s="114" t="str">
        <f t="shared" si="45"/>
        <v/>
      </c>
      <c r="C634" s="115" t="str">
        <f t="shared" si="46"/>
        <v/>
      </c>
      <c r="D634" s="115" t="str">
        <f t="shared" si="47"/>
        <v/>
      </c>
      <c r="E634" s="115"/>
      <c r="F634" s="115" t="str">
        <f t="shared" si="49"/>
        <v/>
      </c>
      <c r="H634"/>
    </row>
    <row r="635" spans="1:8">
      <c r="A635" s="113" t="e">
        <f t="shared" si="48"/>
        <v>#N/A</v>
      </c>
      <c r="B635" s="114" t="str">
        <f t="shared" si="45"/>
        <v/>
      </c>
      <c r="C635" s="115" t="str">
        <f t="shared" si="46"/>
        <v/>
      </c>
      <c r="D635" s="115" t="str">
        <f t="shared" si="47"/>
        <v/>
      </c>
      <c r="E635" s="115"/>
      <c r="F635" s="115" t="str">
        <f t="shared" si="49"/>
        <v/>
      </c>
      <c r="H635"/>
    </row>
    <row r="636" spans="1:8">
      <c r="A636" s="113" t="e">
        <f t="shared" si="48"/>
        <v>#N/A</v>
      </c>
      <c r="B636" s="114" t="str">
        <f t="shared" si="45"/>
        <v/>
      </c>
      <c r="C636" s="115" t="str">
        <f t="shared" si="46"/>
        <v/>
      </c>
      <c r="D636" s="115" t="str">
        <f t="shared" si="47"/>
        <v/>
      </c>
      <c r="E636" s="115"/>
      <c r="F636" s="115" t="str">
        <f t="shared" si="49"/>
        <v/>
      </c>
      <c r="H636"/>
    </row>
    <row r="637" spans="1:8">
      <c r="A637" s="113" t="e">
        <f t="shared" si="48"/>
        <v>#N/A</v>
      </c>
      <c r="B637" s="114" t="str">
        <f t="shared" si="45"/>
        <v/>
      </c>
      <c r="C637" s="115" t="str">
        <f t="shared" si="46"/>
        <v/>
      </c>
      <c r="D637" s="115" t="str">
        <f t="shared" si="47"/>
        <v/>
      </c>
      <c r="E637" s="115"/>
      <c r="F637" s="115" t="str">
        <f t="shared" si="49"/>
        <v/>
      </c>
      <c r="H637"/>
    </row>
    <row r="638" spans="1:8">
      <c r="A638" s="113" t="e">
        <f t="shared" si="48"/>
        <v>#N/A</v>
      </c>
      <c r="B638" s="114" t="str">
        <f t="shared" si="45"/>
        <v/>
      </c>
      <c r="C638" s="115" t="str">
        <f t="shared" si="46"/>
        <v/>
      </c>
      <c r="D638" s="115" t="str">
        <f t="shared" si="47"/>
        <v/>
      </c>
      <c r="E638" s="115"/>
      <c r="F638" s="115" t="str">
        <f t="shared" si="49"/>
        <v/>
      </c>
      <c r="H638"/>
    </row>
    <row r="639" spans="1:8">
      <c r="A639" s="113" t="e">
        <f t="shared" si="48"/>
        <v>#N/A</v>
      </c>
      <c r="B639" s="114" t="str">
        <f t="shared" si="45"/>
        <v/>
      </c>
      <c r="C639" s="115" t="str">
        <f t="shared" si="46"/>
        <v/>
      </c>
      <c r="D639" s="115" t="str">
        <f t="shared" si="47"/>
        <v/>
      </c>
      <c r="E639" s="115"/>
      <c r="F639" s="115" t="str">
        <f t="shared" si="49"/>
        <v/>
      </c>
      <c r="H639"/>
    </row>
    <row r="640" spans="1:8">
      <c r="A640" s="113" t="e">
        <f t="shared" si="48"/>
        <v>#N/A</v>
      </c>
      <c r="B640" s="114" t="str">
        <f t="shared" si="45"/>
        <v/>
      </c>
      <c r="C640" s="115" t="str">
        <f t="shared" si="46"/>
        <v/>
      </c>
      <c r="D640" s="115" t="str">
        <f t="shared" si="47"/>
        <v/>
      </c>
      <c r="E640" s="115"/>
      <c r="F640" s="115" t="str">
        <f t="shared" si="49"/>
        <v/>
      </c>
      <c r="H640"/>
    </row>
    <row r="641" spans="1:8">
      <c r="A641" s="113" t="e">
        <f t="shared" si="48"/>
        <v>#N/A</v>
      </c>
      <c r="B641" s="114" t="str">
        <f t="shared" si="45"/>
        <v/>
      </c>
      <c r="C641" s="115" t="str">
        <f t="shared" si="46"/>
        <v/>
      </c>
      <c r="D641" s="115" t="str">
        <f t="shared" si="47"/>
        <v/>
      </c>
      <c r="E641" s="115"/>
      <c r="F641" s="115" t="str">
        <f t="shared" si="49"/>
        <v/>
      </c>
      <c r="H641"/>
    </row>
    <row r="642" spans="1:8">
      <c r="A642" s="113" t="e">
        <f t="shared" si="48"/>
        <v>#N/A</v>
      </c>
      <c r="B642" s="114" t="str">
        <f t="shared" si="45"/>
        <v/>
      </c>
      <c r="C642" s="115" t="str">
        <f t="shared" si="46"/>
        <v/>
      </c>
      <c r="D642" s="115" t="str">
        <f t="shared" si="47"/>
        <v/>
      </c>
      <c r="E642" s="115"/>
      <c r="F642" s="115" t="str">
        <f t="shared" si="49"/>
        <v/>
      </c>
      <c r="H642"/>
    </row>
    <row r="643" spans="1:8">
      <c r="A643" s="113" t="e">
        <f t="shared" si="48"/>
        <v>#N/A</v>
      </c>
      <c r="B643" s="114" t="str">
        <f t="shared" si="45"/>
        <v/>
      </c>
      <c r="C643" s="115" t="str">
        <f t="shared" si="46"/>
        <v/>
      </c>
      <c r="D643" s="115" t="str">
        <f t="shared" si="47"/>
        <v/>
      </c>
      <c r="E643" s="115"/>
      <c r="F643" s="115" t="str">
        <f t="shared" si="49"/>
        <v/>
      </c>
      <c r="H643"/>
    </row>
    <row r="644" spans="1:8">
      <c r="A644" s="113" t="e">
        <f t="shared" si="48"/>
        <v>#N/A</v>
      </c>
      <c r="B644" s="114" t="str">
        <f t="shared" si="45"/>
        <v/>
      </c>
      <c r="C644" s="115" t="str">
        <f t="shared" si="46"/>
        <v/>
      </c>
      <c r="D644" s="115" t="str">
        <f t="shared" si="47"/>
        <v/>
      </c>
      <c r="E644" s="115"/>
      <c r="F644" s="115" t="str">
        <f t="shared" si="49"/>
        <v/>
      </c>
      <c r="H644"/>
    </row>
    <row r="645" spans="1:8">
      <c r="A645" s="113" t="e">
        <f t="shared" si="48"/>
        <v>#N/A</v>
      </c>
      <c r="B645" s="114" t="str">
        <f t="shared" si="45"/>
        <v/>
      </c>
      <c r="C645" s="115" t="str">
        <f t="shared" si="46"/>
        <v/>
      </c>
      <c r="D645" s="115" t="str">
        <f t="shared" si="47"/>
        <v/>
      </c>
      <c r="E645" s="115"/>
      <c r="F645" s="115" t="str">
        <f t="shared" si="49"/>
        <v/>
      </c>
      <c r="H645"/>
    </row>
    <row r="646" spans="1:8">
      <c r="A646" s="113" t="e">
        <f t="shared" si="48"/>
        <v>#N/A</v>
      </c>
      <c r="B646" s="114" t="str">
        <f t="shared" si="45"/>
        <v/>
      </c>
      <c r="C646" s="115" t="str">
        <f t="shared" si="46"/>
        <v/>
      </c>
      <c r="D646" s="115" t="str">
        <f t="shared" si="47"/>
        <v/>
      </c>
      <c r="E646" s="115"/>
      <c r="F646" s="115" t="str">
        <f t="shared" si="49"/>
        <v/>
      </c>
      <c r="H646"/>
    </row>
    <row r="647" spans="1:8">
      <c r="A647" s="113" t="e">
        <f t="shared" si="48"/>
        <v>#N/A</v>
      </c>
      <c r="B647" s="114" t="str">
        <f t="shared" si="45"/>
        <v/>
      </c>
      <c r="C647" s="115" t="str">
        <f t="shared" si="46"/>
        <v/>
      </c>
      <c r="D647" s="115" t="str">
        <f t="shared" si="47"/>
        <v/>
      </c>
      <c r="E647" s="115"/>
      <c r="F647" s="115" t="str">
        <f t="shared" si="49"/>
        <v/>
      </c>
      <c r="H647"/>
    </row>
    <row r="648" spans="1:8">
      <c r="A648" s="113" t="e">
        <f t="shared" si="48"/>
        <v>#N/A</v>
      </c>
      <c r="B648" s="114" t="str">
        <f t="shared" si="45"/>
        <v/>
      </c>
      <c r="C648" s="115" t="str">
        <f t="shared" si="46"/>
        <v/>
      </c>
      <c r="D648" s="115" t="str">
        <f t="shared" si="47"/>
        <v/>
      </c>
      <c r="E648" s="115"/>
      <c r="F648" s="115" t="str">
        <f t="shared" si="49"/>
        <v/>
      </c>
      <c r="H648"/>
    </row>
    <row r="649" spans="1:8">
      <c r="A649" s="113" t="e">
        <f t="shared" si="48"/>
        <v>#N/A</v>
      </c>
      <c r="B649" s="114" t="str">
        <f t="shared" si="45"/>
        <v/>
      </c>
      <c r="C649" s="115" t="str">
        <f t="shared" si="46"/>
        <v/>
      </c>
      <c r="D649" s="115" t="str">
        <f t="shared" si="47"/>
        <v/>
      </c>
      <c r="E649" s="115"/>
      <c r="F649" s="115" t="str">
        <f t="shared" si="49"/>
        <v/>
      </c>
      <c r="H649"/>
    </row>
    <row r="650" spans="1:8">
      <c r="A650" s="113" t="e">
        <f t="shared" si="48"/>
        <v>#N/A</v>
      </c>
      <c r="B650" s="114" t="str">
        <f t="shared" si="45"/>
        <v/>
      </c>
      <c r="C650" s="115" t="str">
        <f t="shared" si="46"/>
        <v/>
      </c>
      <c r="D650" s="115" t="str">
        <f t="shared" si="47"/>
        <v/>
      </c>
      <c r="E650" s="115"/>
      <c r="F650" s="115" t="str">
        <f t="shared" si="49"/>
        <v/>
      </c>
      <c r="H650"/>
    </row>
    <row r="651" spans="1:8">
      <c r="A651" s="113" t="e">
        <f t="shared" si="48"/>
        <v>#N/A</v>
      </c>
      <c r="B651" s="114" t="str">
        <f t="shared" si="45"/>
        <v/>
      </c>
      <c r="C651" s="115" t="str">
        <f t="shared" si="46"/>
        <v/>
      </c>
      <c r="D651" s="115" t="str">
        <f t="shared" si="47"/>
        <v/>
      </c>
      <c r="E651" s="115"/>
      <c r="F651" s="115" t="str">
        <f t="shared" si="49"/>
        <v/>
      </c>
      <c r="H651"/>
    </row>
    <row r="652" spans="1:8">
      <c r="A652" s="113" t="e">
        <f t="shared" si="48"/>
        <v>#N/A</v>
      </c>
      <c r="B652" s="114" t="str">
        <f t="shared" si="45"/>
        <v/>
      </c>
      <c r="C652" s="115" t="str">
        <f t="shared" si="46"/>
        <v/>
      </c>
      <c r="D652" s="115" t="str">
        <f t="shared" si="47"/>
        <v/>
      </c>
      <c r="E652" s="115"/>
      <c r="F652" s="115" t="str">
        <f t="shared" si="49"/>
        <v/>
      </c>
      <c r="H652"/>
    </row>
    <row r="653" spans="1:8">
      <c r="A653" s="113" t="e">
        <f t="shared" si="48"/>
        <v>#N/A</v>
      </c>
      <c r="B653" s="114" t="str">
        <f t="shared" si="45"/>
        <v/>
      </c>
      <c r="C653" s="115" t="str">
        <f t="shared" si="46"/>
        <v/>
      </c>
      <c r="D653" s="115" t="str">
        <f t="shared" si="47"/>
        <v/>
      </c>
      <c r="E653" s="115"/>
      <c r="F653" s="115" t="str">
        <f t="shared" si="49"/>
        <v/>
      </c>
      <c r="H653"/>
    </row>
    <row r="654" spans="1:8">
      <c r="A654" s="113" t="e">
        <f t="shared" si="48"/>
        <v>#N/A</v>
      </c>
      <c r="B654" s="114" t="str">
        <f t="shared" si="45"/>
        <v/>
      </c>
      <c r="C654" s="115" t="str">
        <f t="shared" si="46"/>
        <v/>
      </c>
      <c r="D654" s="115" t="str">
        <f t="shared" si="47"/>
        <v/>
      </c>
      <c r="E654" s="115"/>
      <c r="F654" s="115" t="str">
        <f t="shared" si="49"/>
        <v/>
      </c>
      <c r="H654"/>
    </row>
    <row r="655" spans="1:8">
      <c r="A655" s="113" t="e">
        <f t="shared" si="48"/>
        <v>#N/A</v>
      </c>
      <c r="B655" s="114" t="str">
        <f t="shared" si="45"/>
        <v/>
      </c>
      <c r="C655" s="115" t="str">
        <f t="shared" si="46"/>
        <v/>
      </c>
      <c r="D655" s="115" t="str">
        <f t="shared" si="47"/>
        <v/>
      </c>
      <c r="E655" s="115"/>
      <c r="F655" s="115" t="str">
        <f t="shared" si="49"/>
        <v/>
      </c>
      <c r="H655"/>
    </row>
    <row r="656" spans="1:8">
      <c r="A656" s="113" t="e">
        <f t="shared" si="48"/>
        <v>#N/A</v>
      </c>
      <c r="B656" s="114" t="str">
        <f t="shared" si="45"/>
        <v/>
      </c>
      <c r="C656" s="115" t="str">
        <f t="shared" si="46"/>
        <v/>
      </c>
      <c r="D656" s="115" t="str">
        <f t="shared" si="47"/>
        <v/>
      </c>
      <c r="E656" s="115"/>
      <c r="F656" s="115" t="str">
        <f t="shared" si="49"/>
        <v/>
      </c>
      <c r="H656"/>
    </row>
    <row r="657" spans="1:8">
      <c r="A657" s="113" t="e">
        <f t="shared" si="48"/>
        <v>#N/A</v>
      </c>
      <c r="B657" s="114" t="str">
        <f t="shared" si="45"/>
        <v/>
      </c>
      <c r="C657" s="115" t="str">
        <f t="shared" si="46"/>
        <v/>
      </c>
      <c r="D657" s="115" t="str">
        <f t="shared" si="47"/>
        <v/>
      </c>
      <c r="E657" s="115"/>
      <c r="F657" s="115" t="str">
        <f t="shared" si="49"/>
        <v/>
      </c>
      <c r="H657"/>
    </row>
    <row r="658" spans="1:8">
      <c r="A658" s="113" t="e">
        <f t="shared" si="48"/>
        <v>#N/A</v>
      </c>
      <c r="B658" s="114" t="str">
        <f t="shared" si="45"/>
        <v/>
      </c>
      <c r="C658" s="115" t="str">
        <f t="shared" si="46"/>
        <v/>
      </c>
      <c r="D658" s="115" t="str">
        <f t="shared" si="47"/>
        <v/>
      </c>
      <c r="E658" s="115"/>
      <c r="F658" s="115" t="str">
        <f t="shared" si="49"/>
        <v/>
      </c>
      <c r="H658"/>
    </row>
    <row r="659" spans="1:8">
      <c r="A659" s="113" t="e">
        <f t="shared" si="48"/>
        <v>#N/A</v>
      </c>
      <c r="B659" s="114" t="str">
        <f t="shared" si="45"/>
        <v/>
      </c>
      <c r="C659" s="115" t="str">
        <f t="shared" si="46"/>
        <v/>
      </c>
      <c r="D659" s="115" t="str">
        <f t="shared" si="47"/>
        <v/>
      </c>
      <c r="E659" s="115"/>
      <c r="F659" s="115" t="str">
        <f t="shared" si="49"/>
        <v/>
      </c>
      <c r="H659"/>
    </row>
    <row r="660" spans="1:8">
      <c r="A660" s="113" t="e">
        <f t="shared" si="48"/>
        <v>#N/A</v>
      </c>
      <c r="B660" s="114" t="str">
        <f t="shared" si="45"/>
        <v/>
      </c>
      <c r="C660" s="115" t="str">
        <f t="shared" si="46"/>
        <v/>
      </c>
      <c r="D660" s="115" t="str">
        <f t="shared" si="47"/>
        <v/>
      </c>
      <c r="E660" s="115"/>
      <c r="F660" s="115" t="str">
        <f t="shared" si="49"/>
        <v/>
      </c>
      <c r="H660"/>
    </row>
    <row r="661" spans="1:8">
      <c r="A661" s="113" t="e">
        <f t="shared" si="48"/>
        <v>#N/A</v>
      </c>
      <c r="B661" s="114" t="str">
        <f t="shared" si="45"/>
        <v/>
      </c>
      <c r="C661" s="115" t="str">
        <f t="shared" si="46"/>
        <v/>
      </c>
      <c r="D661" s="115" t="str">
        <f t="shared" si="47"/>
        <v/>
      </c>
      <c r="E661" s="115"/>
      <c r="F661" s="115" t="str">
        <f t="shared" si="49"/>
        <v/>
      </c>
      <c r="H661"/>
    </row>
    <row r="662" spans="1:8">
      <c r="A662" s="113" t="e">
        <f t="shared" si="48"/>
        <v>#N/A</v>
      </c>
      <c r="B662" s="114" t="str">
        <f t="shared" si="45"/>
        <v/>
      </c>
      <c r="C662" s="115" t="str">
        <f t="shared" si="46"/>
        <v/>
      </c>
      <c r="D662" s="115" t="str">
        <f t="shared" si="47"/>
        <v/>
      </c>
      <c r="E662" s="115"/>
      <c r="F662" s="115" t="str">
        <f t="shared" si="49"/>
        <v/>
      </c>
      <c r="H662"/>
    </row>
    <row r="663" spans="1:8">
      <c r="A663" s="113" t="e">
        <f t="shared" si="48"/>
        <v>#N/A</v>
      </c>
      <c r="B663" s="114" t="str">
        <f t="shared" si="45"/>
        <v/>
      </c>
      <c r="C663" s="115" t="str">
        <f t="shared" si="46"/>
        <v/>
      </c>
      <c r="D663" s="115" t="str">
        <f t="shared" si="47"/>
        <v/>
      </c>
      <c r="E663" s="115"/>
      <c r="F663" s="115" t="str">
        <f t="shared" si="49"/>
        <v/>
      </c>
      <c r="H663"/>
    </row>
    <row r="664" spans="1:8">
      <c r="A664" s="113" t="e">
        <f t="shared" si="48"/>
        <v>#N/A</v>
      </c>
      <c r="B664" s="114" t="str">
        <f t="shared" si="45"/>
        <v/>
      </c>
      <c r="C664" s="115" t="str">
        <f t="shared" si="46"/>
        <v/>
      </c>
      <c r="D664" s="115" t="str">
        <f t="shared" si="47"/>
        <v/>
      </c>
      <c r="E664" s="115"/>
      <c r="F664" s="115" t="str">
        <f t="shared" si="49"/>
        <v/>
      </c>
      <c r="H664"/>
    </row>
    <row r="665" spans="1:8">
      <c r="A665" s="113" t="e">
        <f t="shared" si="48"/>
        <v>#N/A</v>
      </c>
      <c r="B665" s="114" t="str">
        <f t="shared" si="45"/>
        <v/>
      </c>
      <c r="C665" s="115" t="str">
        <f t="shared" si="46"/>
        <v/>
      </c>
      <c r="D665" s="115" t="str">
        <f t="shared" si="47"/>
        <v/>
      </c>
      <c r="E665" s="115"/>
      <c r="F665" s="115" t="str">
        <f t="shared" si="49"/>
        <v/>
      </c>
      <c r="H665"/>
    </row>
    <row r="666" spans="1:8">
      <c r="A666" s="113" t="e">
        <f t="shared" si="48"/>
        <v>#N/A</v>
      </c>
      <c r="B666" s="114" t="str">
        <f t="shared" si="45"/>
        <v/>
      </c>
      <c r="C666" s="115" t="str">
        <f t="shared" si="46"/>
        <v/>
      </c>
      <c r="D666" s="115" t="str">
        <f t="shared" si="47"/>
        <v/>
      </c>
      <c r="E666" s="115"/>
      <c r="F666" s="115" t="str">
        <f t="shared" si="49"/>
        <v/>
      </c>
      <c r="H666"/>
    </row>
    <row r="667" spans="1:8">
      <c r="A667" s="113" t="e">
        <f t="shared" si="48"/>
        <v>#N/A</v>
      </c>
      <c r="B667" s="114" t="str">
        <f t="shared" si="45"/>
        <v/>
      </c>
      <c r="C667" s="115" t="str">
        <f t="shared" si="46"/>
        <v/>
      </c>
      <c r="D667" s="115" t="str">
        <f t="shared" si="47"/>
        <v/>
      </c>
      <c r="E667" s="115"/>
      <c r="F667" s="115" t="str">
        <f t="shared" si="49"/>
        <v/>
      </c>
      <c r="H667"/>
    </row>
    <row r="668" spans="1:8">
      <c r="A668" s="113" t="e">
        <f t="shared" si="48"/>
        <v>#N/A</v>
      </c>
      <c r="B668" s="114" t="str">
        <f t="shared" ref="B668:B731" si="50">IF(ISERROR(A668),"",IF($D$9="Annually",EDATE(B667,12),EDATE(B667,1)))</f>
        <v/>
      </c>
      <c r="C668" s="115" t="str">
        <f t="shared" ref="C668:C731" si="51">IF(ISERROR(A668),"",ROUND(F667*rper,2))</f>
        <v/>
      </c>
      <c r="D668" s="115" t="str">
        <f t="shared" ref="D668:D731" si="52">IF(ISERROR(A668),"",MIN(ROUND(F667+C668,2),ROUND(FV($G$12,IF(type=1,A668,A667),,-$D$18),2)))</f>
        <v/>
      </c>
      <c r="E668" s="115"/>
      <c r="F668" s="115" t="str">
        <f t="shared" si="49"/>
        <v/>
      </c>
      <c r="H668"/>
    </row>
    <row r="669" spans="1:8">
      <c r="A669" s="113" t="e">
        <f t="shared" ref="A669:A732" si="53">IF(OR(F668="",F668&lt;=0),NA(),A668+1)</f>
        <v>#N/A</v>
      </c>
      <c r="B669" s="114" t="str">
        <f t="shared" si="50"/>
        <v/>
      </c>
      <c r="C669" s="115" t="str">
        <f t="shared" si="51"/>
        <v/>
      </c>
      <c r="D669" s="115" t="str">
        <f t="shared" si="52"/>
        <v/>
      </c>
      <c r="E669" s="115"/>
      <c r="F669" s="115" t="str">
        <f t="shared" ref="F669:F732" si="54">IF(ISERROR(A669),"",ROUND(F668-D669-E669+C669,2))</f>
        <v/>
      </c>
      <c r="H669"/>
    </row>
    <row r="670" spans="1:8">
      <c r="A670" s="113" t="e">
        <f t="shared" si="53"/>
        <v>#N/A</v>
      </c>
      <c r="B670" s="114" t="str">
        <f t="shared" si="50"/>
        <v/>
      </c>
      <c r="C670" s="115" t="str">
        <f t="shared" si="51"/>
        <v/>
      </c>
      <c r="D670" s="115" t="str">
        <f t="shared" si="52"/>
        <v/>
      </c>
      <c r="E670" s="115"/>
      <c r="F670" s="115" t="str">
        <f t="shared" si="54"/>
        <v/>
      </c>
      <c r="H670"/>
    </row>
    <row r="671" spans="1:8">
      <c r="A671" s="113" t="e">
        <f t="shared" si="53"/>
        <v>#N/A</v>
      </c>
      <c r="B671" s="114" t="str">
        <f t="shared" si="50"/>
        <v/>
      </c>
      <c r="C671" s="115" t="str">
        <f t="shared" si="51"/>
        <v/>
      </c>
      <c r="D671" s="115" t="str">
        <f t="shared" si="52"/>
        <v/>
      </c>
      <c r="E671" s="115"/>
      <c r="F671" s="115" t="str">
        <f t="shared" si="54"/>
        <v/>
      </c>
      <c r="H671"/>
    </row>
    <row r="672" spans="1:8">
      <c r="A672" s="113" t="e">
        <f t="shared" si="53"/>
        <v>#N/A</v>
      </c>
      <c r="B672" s="114" t="str">
        <f t="shared" si="50"/>
        <v/>
      </c>
      <c r="C672" s="115" t="str">
        <f t="shared" si="51"/>
        <v/>
      </c>
      <c r="D672" s="115" t="str">
        <f t="shared" si="52"/>
        <v/>
      </c>
      <c r="E672" s="115"/>
      <c r="F672" s="115" t="str">
        <f t="shared" si="54"/>
        <v/>
      </c>
      <c r="H672"/>
    </row>
    <row r="673" spans="1:8">
      <c r="A673" s="113" t="e">
        <f t="shared" si="53"/>
        <v>#N/A</v>
      </c>
      <c r="B673" s="114" t="str">
        <f t="shared" si="50"/>
        <v/>
      </c>
      <c r="C673" s="115" t="str">
        <f t="shared" si="51"/>
        <v/>
      </c>
      <c r="D673" s="115" t="str">
        <f t="shared" si="52"/>
        <v/>
      </c>
      <c r="E673" s="115"/>
      <c r="F673" s="115" t="str">
        <f t="shared" si="54"/>
        <v/>
      </c>
      <c r="H673"/>
    </row>
    <row r="674" spans="1:8">
      <c r="A674" s="113" t="e">
        <f t="shared" si="53"/>
        <v>#N/A</v>
      </c>
      <c r="B674" s="114" t="str">
        <f t="shared" si="50"/>
        <v/>
      </c>
      <c r="C674" s="115" t="str">
        <f t="shared" si="51"/>
        <v/>
      </c>
      <c r="D674" s="115" t="str">
        <f t="shared" si="52"/>
        <v/>
      </c>
      <c r="E674" s="115"/>
      <c r="F674" s="115" t="str">
        <f t="shared" si="54"/>
        <v/>
      </c>
      <c r="H674"/>
    </row>
    <row r="675" spans="1:8">
      <c r="A675" s="113" t="e">
        <f t="shared" si="53"/>
        <v>#N/A</v>
      </c>
      <c r="B675" s="114" t="str">
        <f t="shared" si="50"/>
        <v/>
      </c>
      <c r="C675" s="115" t="str">
        <f t="shared" si="51"/>
        <v/>
      </c>
      <c r="D675" s="115" t="str">
        <f t="shared" si="52"/>
        <v/>
      </c>
      <c r="E675" s="115"/>
      <c r="F675" s="115" t="str">
        <f t="shared" si="54"/>
        <v/>
      </c>
      <c r="H675"/>
    </row>
    <row r="676" spans="1:8">
      <c r="A676" s="113" t="e">
        <f t="shared" si="53"/>
        <v>#N/A</v>
      </c>
      <c r="B676" s="114" t="str">
        <f t="shared" si="50"/>
        <v/>
      </c>
      <c r="C676" s="115" t="str">
        <f t="shared" si="51"/>
        <v/>
      </c>
      <c r="D676" s="115" t="str">
        <f t="shared" si="52"/>
        <v/>
      </c>
      <c r="E676" s="115"/>
      <c r="F676" s="115" t="str">
        <f t="shared" si="54"/>
        <v/>
      </c>
      <c r="H676"/>
    </row>
    <row r="677" spans="1:8">
      <c r="A677" s="113" t="e">
        <f t="shared" si="53"/>
        <v>#N/A</v>
      </c>
      <c r="B677" s="114" t="str">
        <f t="shared" si="50"/>
        <v/>
      </c>
      <c r="C677" s="115" t="str">
        <f t="shared" si="51"/>
        <v/>
      </c>
      <c r="D677" s="115" t="str">
        <f t="shared" si="52"/>
        <v/>
      </c>
      <c r="E677" s="115"/>
      <c r="F677" s="115" t="str">
        <f t="shared" si="54"/>
        <v/>
      </c>
      <c r="H677"/>
    </row>
    <row r="678" spans="1:8">
      <c r="A678" s="113" t="e">
        <f t="shared" si="53"/>
        <v>#N/A</v>
      </c>
      <c r="B678" s="114" t="str">
        <f t="shared" si="50"/>
        <v/>
      </c>
      <c r="C678" s="115" t="str">
        <f t="shared" si="51"/>
        <v/>
      </c>
      <c r="D678" s="115" t="str">
        <f t="shared" si="52"/>
        <v/>
      </c>
      <c r="E678" s="115"/>
      <c r="F678" s="115" t="str">
        <f t="shared" si="54"/>
        <v/>
      </c>
      <c r="H678"/>
    </row>
    <row r="679" spans="1:8">
      <c r="A679" s="113" t="e">
        <f t="shared" si="53"/>
        <v>#N/A</v>
      </c>
      <c r="B679" s="114" t="str">
        <f t="shared" si="50"/>
        <v/>
      </c>
      <c r="C679" s="115" t="str">
        <f t="shared" si="51"/>
        <v/>
      </c>
      <c r="D679" s="115" t="str">
        <f t="shared" si="52"/>
        <v/>
      </c>
      <c r="E679" s="115"/>
      <c r="F679" s="115" t="str">
        <f t="shared" si="54"/>
        <v/>
      </c>
      <c r="H679"/>
    </row>
    <row r="680" spans="1:8">
      <c r="A680" s="113" t="e">
        <f t="shared" si="53"/>
        <v>#N/A</v>
      </c>
      <c r="B680" s="114" t="str">
        <f t="shared" si="50"/>
        <v/>
      </c>
      <c r="C680" s="115" t="str">
        <f t="shared" si="51"/>
        <v/>
      </c>
      <c r="D680" s="115" t="str">
        <f t="shared" si="52"/>
        <v/>
      </c>
      <c r="E680" s="115"/>
      <c r="F680" s="115" t="str">
        <f t="shared" si="54"/>
        <v/>
      </c>
      <c r="H680"/>
    </row>
    <row r="681" spans="1:8">
      <c r="A681" s="113" t="e">
        <f t="shared" si="53"/>
        <v>#N/A</v>
      </c>
      <c r="B681" s="114" t="str">
        <f t="shared" si="50"/>
        <v/>
      </c>
      <c r="C681" s="115" t="str">
        <f t="shared" si="51"/>
        <v/>
      </c>
      <c r="D681" s="115" t="str">
        <f t="shared" si="52"/>
        <v/>
      </c>
      <c r="E681" s="115"/>
      <c r="F681" s="115" t="str">
        <f t="shared" si="54"/>
        <v/>
      </c>
      <c r="H681"/>
    </row>
    <row r="682" spans="1:8">
      <c r="A682" s="113" t="e">
        <f t="shared" si="53"/>
        <v>#N/A</v>
      </c>
      <c r="B682" s="114" t="str">
        <f t="shared" si="50"/>
        <v/>
      </c>
      <c r="C682" s="115" t="str">
        <f t="shared" si="51"/>
        <v/>
      </c>
      <c r="D682" s="115" t="str">
        <f t="shared" si="52"/>
        <v/>
      </c>
      <c r="E682" s="115"/>
      <c r="F682" s="115" t="str">
        <f t="shared" si="54"/>
        <v/>
      </c>
      <c r="H682"/>
    </row>
    <row r="683" spans="1:8">
      <c r="A683" s="113" t="e">
        <f t="shared" si="53"/>
        <v>#N/A</v>
      </c>
      <c r="B683" s="114" t="str">
        <f t="shared" si="50"/>
        <v/>
      </c>
      <c r="C683" s="115" t="str">
        <f t="shared" si="51"/>
        <v/>
      </c>
      <c r="D683" s="115" t="str">
        <f t="shared" si="52"/>
        <v/>
      </c>
      <c r="E683" s="115"/>
      <c r="F683" s="115" t="str">
        <f t="shared" si="54"/>
        <v/>
      </c>
      <c r="H683"/>
    </row>
    <row r="684" spans="1:8">
      <c r="A684" s="113" t="e">
        <f t="shared" si="53"/>
        <v>#N/A</v>
      </c>
      <c r="B684" s="114" t="str">
        <f t="shared" si="50"/>
        <v/>
      </c>
      <c r="C684" s="115" t="str">
        <f t="shared" si="51"/>
        <v/>
      </c>
      <c r="D684" s="115" t="str">
        <f t="shared" si="52"/>
        <v/>
      </c>
      <c r="E684" s="115"/>
      <c r="F684" s="115" t="str">
        <f t="shared" si="54"/>
        <v/>
      </c>
      <c r="H684"/>
    </row>
    <row r="685" spans="1:8">
      <c r="A685" s="113" t="e">
        <f t="shared" si="53"/>
        <v>#N/A</v>
      </c>
      <c r="B685" s="114" t="str">
        <f t="shared" si="50"/>
        <v/>
      </c>
      <c r="C685" s="115" t="str">
        <f t="shared" si="51"/>
        <v/>
      </c>
      <c r="D685" s="115" t="str">
        <f t="shared" si="52"/>
        <v/>
      </c>
      <c r="E685" s="115"/>
      <c r="F685" s="115" t="str">
        <f t="shared" si="54"/>
        <v/>
      </c>
      <c r="H685"/>
    </row>
    <row r="686" spans="1:8">
      <c r="A686" s="113" t="e">
        <f t="shared" si="53"/>
        <v>#N/A</v>
      </c>
      <c r="B686" s="114" t="str">
        <f t="shared" si="50"/>
        <v/>
      </c>
      <c r="C686" s="115" t="str">
        <f t="shared" si="51"/>
        <v/>
      </c>
      <c r="D686" s="115" t="str">
        <f t="shared" si="52"/>
        <v/>
      </c>
      <c r="E686" s="115"/>
      <c r="F686" s="115" t="str">
        <f t="shared" si="54"/>
        <v/>
      </c>
      <c r="H686"/>
    </row>
    <row r="687" spans="1:8">
      <c r="A687" s="113" t="e">
        <f t="shared" si="53"/>
        <v>#N/A</v>
      </c>
      <c r="B687" s="114" t="str">
        <f t="shared" si="50"/>
        <v/>
      </c>
      <c r="C687" s="115" t="str">
        <f t="shared" si="51"/>
        <v/>
      </c>
      <c r="D687" s="115" t="str">
        <f t="shared" si="52"/>
        <v/>
      </c>
      <c r="E687" s="115"/>
      <c r="F687" s="115" t="str">
        <f t="shared" si="54"/>
        <v/>
      </c>
      <c r="H687"/>
    </row>
    <row r="688" spans="1:8">
      <c r="A688" s="113" t="e">
        <f t="shared" si="53"/>
        <v>#N/A</v>
      </c>
      <c r="B688" s="114" t="str">
        <f t="shared" si="50"/>
        <v/>
      </c>
      <c r="C688" s="115" t="str">
        <f t="shared" si="51"/>
        <v/>
      </c>
      <c r="D688" s="115" t="str">
        <f t="shared" si="52"/>
        <v/>
      </c>
      <c r="E688" s="115"/>
      <c r="F688" s="115" t="str">
        <f t="shared" si="54"/>
        <v/>
      </c>
      <c r="H688"/>
    </row>
    <row r="689" spans="1:8">
      <c r="A689" s="113" t="e">
        <f t="shared" si="53"/>
        <v>#N/A</v>
      </c>
      <c r="B689" s="114" t="str">
        <f t="shared" si="50"/>
        <v/>
      </c>
      <c r="C689" s="115" t="str">
        <f t="shared" si="51"/>
        <v/>
      </c>
      <c r="D689" s="115" t="str">
        <f t="shared" si="52"/>
        <v/>
      </c>
      <c r="E689" s="115"/>
      <c r="F689" s="115" t="str">
        <f t="shared" si="54"/>
        <v/>
      </c>
      <c r="H689"/>
    </row>
    <row r="690" spans="1:8">
      <c r="A690" s="113" t="e">
        <f t="shared" si="53"/>
        <v>#N/A</v>
      </c>
      <c r="B690" s="114" t="str">
        <f t="shared" si="50"/>
        <v/>
      </c>
      <c r="C690" s="115" t="str">
        <f t="shared" si="51"/>
        <v/>
      </c>
      <c r="D690" s="115" t="str">
        <f t="shared" si="52"/>
        <v/>
      </c>
      <c r="E690" s="115"/>
      <c r="F690" s="115" t="str">
        <f t="shared" si="54"/>
        <v/>
      </c>
      <c r="H690"/>
    </row>
    <row r="691" spans="1:8">
      <c r="A691" s="113" t="e">
        <f t="shared" si="53"/>
        <v>#N/A</v>
      </c>
      <c r="B691" s="114" t="str">
        <f t="shared" si="50"/>
        <v/>
      </c>
      <c r="C691" s="115" t="str">
        <f t="shared" si="51"/>
        <v/>
      </c>
      <c r="D691" s="115" t="str">
        <f t="shared" si="52"/>
        <v/>
      </c>
      <c r="E691" s="115"/>
      <c r="F691" s="115" t="str">
        <f t="shared" si="54"/>
        <v/>
      </c>
      <c r="H691"/>
    </row>
    <row r="692" spans="1:8">
      <c r="A692" s="113" t="e">
        <f t="shared" si="53"/>
        <v>#N/A</v>
      </c>
      <c r="B692" s="114" t="str">
        <f t="shared" si="50"/>
        <v/>
      </c>
      <c r="C692" s="115" t="str">
        <f t="shared" si="51"/>
        <v/>
      </c>
      <c r="D692" s="115" t="str">
        <f t="shared" si="52"/>
        <v/>
      </c>
      <c r="E692" s="115"/>
      <c r="F692" s="115" t="str">
        <f t="shared" si="54"/>
        <v/>
      </c>
      <c r="H692"/>
    </row>
    <row r="693" spans="1:8">
      <c r="A693" s="113" t="e">
        <f t="shared" si="53"/>
        <v>#N/A</v>
      </c>
      <c r="B693" s="114" t="str">
        <f t="shared" si="50"/>
        <v/>
      </c>
      <c r="C693" s="115" t="str">
        <f t="shared" si="51"/>
        <v/>
      </c>
      <c r="D693" s="115" t="str">
        <f t="shared" si="52"/>
        <v/>
      </c>
      <c r="E693" s="115"/>
      <c r="F693" s="115" t="str">
        <f t="shared" si="54"/>
        <v/>
      </c>
      <c r="H693"/>
    </row>
    <row r="694" spans="1:8">
      <c r="A694" s="113" t="e">
        <f t="shared" si="53"/>
        <v>#N/A</v>
      </c>
      <c r="B694" s="114" t="str">
        <f t="shared" si="50"/>
        <v/>
      </c>
      <c r="C694" s="115" t="str">
        <f t="shared" si="51"/>
        <v/>
      </c>
      <c r="D694" s="115" t="str">
        <f t="shared" si="52"/>
        <v/>
      </c>
      <c r="E694" s="115"/>
      <c r="F694" s="115" t="str">
        <f t="shared" si="54"/>
        <v/>
      </c>
      <c r="H694"/>
    </row>
    <row r="695" spans="1:8">
      <c r="A695" s="113" t="e">
        <f t="shared" si="53"/>
        <v>#N/A</v>
      </c>
      <c r="B695" s="114" t="str">
        <f t="shared" si="50"/>
        <v/>
      </c>
      <c r="C695" s="115" t="str">
        <f t="shared" si="51"/>
        <v/>
      </c>
      <c r="D695" s="115" t="str">
        <f t="shared" si="52"/>
        <v/>
      </c>
      <c r="E695" s="115"/>
      <c r="F695" s="115" t="str">
        <f t="shared" si="54"/>
        <v/>
      </c>
      <c r="H695"/>
    </row>
    <row r="696" spans="1:8">
      <c r="A696" s="113" t="e">
        <f t="shared" si="53"/>
        <v>#N/A</v>
      </c>
      <c r="B696" s="114" t="str">
        <f t="shared" si="50"/>
        <v/>
      </c>
      <c r="C696" s="115" t="str">
        <f t="shared" si="51"/>
        <v/>
      </c>
      <c r="D696" s="115" t="str">
        <f t="shared" si="52"/>
        <v/>
      </c>
      <c r="E696" s="115"/>
      <c r="F696" s="115" t="str">
        <f t="shared" si="54"/>
        <v/>
      </c>
      <c r="H696"/>
    </row>
    <row r="697" spans="1:8">
      <c r="A697" s="113" t="e">
        <f t="shared" si="53"/>
        <v>#N/A</v>
      </c>
      <c r="B697" s="114" t="str">
        <f t="shared" si="50"/>
        <v/>
      </c>
      <c r="C697" s="115" t="str">
        <f t="shared" si="51"/>
        <v/>
      </c>
      <c r="D697" s="115" t="str">
        <f t="shared" si="52"/>
        <v/>
      </c>
      <c r="E697" s="115"/>
      <c r="F697" s="115" t="str">
        <f t="shared" si="54"/>
        <v/>
      </c>
      <c r="H697"/>
    </row>
    <row r="698" spans="1:8">
      <c r="A698" s="113" t="e">
        <f t="shared" si="53"/>
        <v>#N/A</v>
      </c>
      <c r="B698" s="114" t="str">
        <f t="shared" si="50"/>
        <v/>
      </c>
      <c r="C698" s="115" t="str">
        <f t="shared" si="51"/>
        <v/>
      </c>
      <c r="D698" s="115" t="str">
        <f t="shared" si="52"/>
        <v/>
      </c>
      <c r="E698" s="115"/>
      <c r="F698" s="115" t="str">
        <f t="shared" si="54"/>
        <v/>
      </c>
      <c r="H698"/>
    </row>
    <row r="699" spans="1:8">
      <c r="A699" s="113" t="e">
        <f t="shared" si="53"/>
        <v>#N/A</v>
      </c>
      <c r="B699" s="114" t="str">
        <f t="shared" si="50"/>
        <v/>
      </c>
      <c r="C699" s="115" t="str">
        <f t="shared" si="51"/>
        <v/>
      </c>
      <c r="D699" s="115" t="str">
        <f t="shared" si="52"/>
        <v/>
      </c>
      <c r="E699" s="115"/>
      <c r="F699" s="115" t="str">
        <f t="shared" si="54"/>
        <v/>
      </c>
      <c r="H699"/>
    </row>
    <row r="700" spans="1:8">
      <c r="A700" s="113" t="e">
        <f t="shared" si="53"/>
        <v>#N/A</v>
      </c>
      <c r="B700" s="114" t="str">
        <f t="shared" si="50"/>
        <v/>
      </c>
      <c r="C700" s="115" t="str">
        <f t="shared" si="51"/>
        <v/>
      </c>
      <c r="D700" s="115" t="str">
        <f t="shared" si="52"/>
        <v/>
      </c>
      <c r="E700" s="115"/>
      <c r="F700" s="115" t="str">
        <f t="shared" si="54"/>
        <v/>
      </c>
      <c r="H700"/>
    </row>
    <row r="701" spans="1:8">
      <c r="A701" s="113" t="e">
        <f t="shared" si="53"/>
        <v>#N/A</v>
      </c>
      <c r="B701" s="114" t="str">
        <f t="shared" si="50"/>
        <v/>
      </c>
      <c r="C701" s="115" t="str">
        <f t="shared" si="51"/>
        <v/>
      </c>
      <c r="D701" s="115" t="str">
        <f t="shared" si="52"/>
        <v/>
      </c>
      <c r="E701" s="115"/>
      <c r="F701" s="115" t="str">
        <f t="shared" si="54"/>
        <v/>
      </c>
      <c r="H701"/>
    </row>
    <row r="702" spans="1:8">
      <c r="A702" s="113" t="e">
        <f t="shared" si="53"/>
        <v>#N/A</v>
      </c>
      <c r="B702" s="114" t="str">
        <f t="shared" si="50"/>
        <v/>
      </c>
      <c r="C702" s="115" t="str">
        <f t="shared" si="51"/>
        <v/>
      </c>
      <c r="D702" s="115" t="str">
        <f t="shared" si="52"/>
        <v/>
      </c>
      <c r="E702" s="115"/>
      <c r="F702" s="115" t="str">
        <f t="shared" si="54"/>
        <v/>
      </c>
      <c r="H702"/>
    </row>
    <row r="703" spans="1:8">
      <c r="A703" s="113" t="e">
        <f t="shared" si="53"/>
        <v>#N/A</v>
      </c>
      <c r="B703" s="114" t="str">
        <f t="shared" si="50"/>
        <v/>
      </c>
      <c r="C703" s="115" t="str">
        <f t="shared" si="51"/>
        <v/>
      </c>
      <c r="D703" s="115" t="str">
        <f t="shared" si="52"/>
        <v/>
      </c>
      <c r="E703" s="115"/>
      <c r="F703" s="115" t="str">
        <f t="shared" si="54"/>
        <v/>
      </c>
      <c r="H703"/>
    </row>
    <row r="704" spans="1:8">
      <c r="A704" s="113" t="e">
        <f t="shared" si="53"/>
        <v>#N/A</v>
      </c>
      <c r="B704" s="114" t="str">
        <f t="shared" si="50"/>
        <v/>
      </c>
      <c r="C704" s="115" t="str">
        <f t="shared" si="51"/>
        <v/>
      </c>
      <c r="D704" s="115" t="str">
        <f t="shared" si="52"/>
        <v/>
      </c>
      <c r="E704" s="115"/>
      <c r="F704" s="115" t="str">
        <f t="shared" si="54"/>
        <v/>
      </c>
      <c r="H704"/>
    </row>
    <row r="705" spans="1:8">
      <c r="A705" s="113" t="e">
        <f t="shared" si="53"/>
        <v>#N/A</v>
      </c>
      <c r="B705" s="114" t="str">
        <f t="shared" si="50"/>
        <v/>
      </c>
      <c r="C705" s="115" t="str">
        <f t="shared" si="51"/>
        <v/>
      </c>
      <c r="D705" s="115" t="str">
        <f t="shared" si="52"/>
        <v/>
      </c>
      <c r="E705" s="115"/>
      <c r="F705" s="115" t="str">
        <f t="shared" si="54"/>
        <v/>
      </c>
      <c r="H705"/>
    </row>
    <row r="706" spans="1:8">
      <c r="A706" s="113" t="e">
        <f t="shared" si="53"/>
        <v>#N/A</v>
      </c>
      <c r="B706" s="114" t="str">
        <f t="shared" si="50"/>
        <v/>
      </c>
      <c r="C706" s="115" t="str">
        <f t="shared" si="51"/>
        <v/>
      </c>
      <c r="D706" s="115" t="str">
        <f t="shared" si="52"/>
        <v/>
      </c>
      <c r="E706" s="115"/>
      <c r="F706" s="115" t="str">
        <f t="shared" si="54"/>
        <v/>
      </c>
      <c r="H706"/>
    </row>
    <row r="707" spans="1:8">
      <c r="A707" s="113" t="e">
        <f t="shared" si="53"/>
        <v>#N/A</v>
      </c>
      <c r="B707" s="114" t="str">
        <f t="shared" si="50"/>
        <v/>
      </c>
      <c r="C707" s="115" t="str">
        <f t="shared" si="51"/>
        <v/>
      </c>
      <c r="D707" s="115" t="str">
        <f t="shared" si="52"/>
        <v/>
      </c>
      <c r="E707" s="115"/>
      <c r="F707" s="115" t="str">
        <f t="shared" si="54"/>
        <v/>
      </c>
      <c r="H707"/>
    </row>
    <row r="708" spans="1:8">
      <c r="A708" s="113" t="e">
        <f t="shared" si="53"/>
        <v>#N/A</v>
      </c>
      <c r="B708" s="114" t="str">
        <f t="shared" si="50"/>
        <v/>
      </c>
      <c r="C708" s="115" t="str">
        <f t="shared" si="51"/>
        <v/>
      </c>
      <c r="D708" s="115" t="str">
        <f t="shared" si="52"/>
        <v/>
      </c>
      <c r="E708" s="115"/>
      <c r="F708" s="115" t="str">
        <f t="shared" si="54"/>
        <v/>
      </c>
      <c r="H708"/>
    </row>
    <row r="709" spans="1:8">
      <c r="A709" s="113" t="e">
        <f t="shared" si="53"/>
        <v>#N/A</v>
      </c>
      <c r="B709" s="114" t="str">
        <f t="shared" si="50"/>
        <v/>
      </c>
      <c r="C709" s="115" t="str">
        <f t="shared" si="51"/>
        <v/>
      </c>
      <c r="D709" s="115" t="str">
        <f t="shared" si="52"/>
        <v/>
      </c>
      <c r="E709" s="115"/>
      <c r="F709" s="115" t="str">
        <f t="shared" si="54"/>
        <v/>
      </c>
      <c r="H709"/>
    </row>
    <row r="710" spans="1:8">
      <c r="A710" s="113" t="e">
        <f t="shared" si="53"/>
        <v>#N/A</v>
      </c>
      <c r="B710" s="114" t="str">
        <f t="shared" si="50"/>
        <v/>
      </c>
      <c r="C710" s="115" t="str">
        <f t="shared" si="51"/>
        <v/>
      </c>
      <c r="D710" s="115" t="str">
        <f t="shared" si="52"/>
        <v/>
      </c>
      <c r="E710" s="115"/>
      <c r="F710" s="115" t="str">
        <f t="shared" si="54"/>
        <v/>
      </c>
      <c r="H710"/>
    </row>
    <row r="711" spans="1:8">
      <c r="A711" s="113" t="e">
        <f t="shared" si="53"/>
        <v>#N/A</v>
      </c>
      <c r="B711" s="114" t="str">
        <f t="shared" si="50"/>
        <v/>
      </c>
      <c r="C711" s="115" t="str">
        <f t="shared" si="51"/>
        <v/>
      </c>
      <c r="D711" s="115" t="str">
        <f t="shared" si="52"/>
        <v/>
      </c>
      <c r="E711" s="115"/>
      <c r="F711" s="115" t="str">
        <f t="shared" si="54"/>
        <v/>
      </c>
      <c r="H711"/>
    </row>
    <row r="712" spans="1:8">
      <c r="A712" s="113" t="e">
        <f t="shared" si="53"/>
        <v>#N/A</v>
      </c>
      <c r="B712" s="114" t="str">
        <f t="shared" si="50"/>
        <v/>
      </c>
      <c r="C712" s="115" t="str">
        <f t="shared" si="51"/>
        <v/>
      </c>
      <c r="D712" s="115" t="str">
        <f t="shared" si="52"/>
        <v/>
      </c>
      <c r="E712" s="115"/>
      <c r="F712" s="115" t="str">
        <f t="shared" si="54"/>
        <v/>
      </c>
      <c r="H712"/>
    </row>
    <row r="713" spans="1:8">
      <c r="A713" s="113" t="e">
        <f t="shared" si="53"/>
        <v>#N/A</v>
      </c>
      <c r="B713" s="114" t="str">
        <f t="shared" si="50"/>
        <v/>
      </c>
      <c r="C713" s="115" t="str">
        <f t="shared" si="51"/>
        <v/>
      </c>
      <c r="D713" s="115" t="str">
        <f t="shared" si="52"/>
        <v/>
      </c>
      <c r="E713" s="115"/>
      <c r="F713" s="115" t="str">
        <f t="shared" si="54"/>
        <v/>
      </c>
      <c r="H713"/>
    </row>
    <row r="714" spans="1:8">
      <c r="A714" s="113" t="e">
        <f t="shared" si="53"/>
        <v>#N/A</v>
      </c>
      <c r="B714" s="114" t="str">
        <f t="shared" si="50"/>
        <v/>
      </c>
      <c r="C714" s="115" t="str">
        <f t="shared" si="51"/>
        <v/>
      </c>
      <c r="D714" s="115" t="str">
        <f t="shared" si="52"/>
        <v/>
      </c>
      <c r="E714" s="115"/>
      <c r="F714" s="115" t="str">
        <f t="shared" si="54"/>
        <v/>
      </c>
      <c r="H714"/>
    </row>
    <row r="715" spans="1:8">
      <c r="A715" s="113" t="e">
        <f t="shared" si="53"/>
        <v>#N/A</v>
      </c>
      <c r="B715" s="114" t="str">
        <f t="shared" si="50"/>
        <v/>
      </c>
      <c r="C715" s="115" t="str">
        <f t="shared" si="51"/>
        <v/>
      </c>
      <c r="D715" s="115" t="str">
        <f t="shared" si="52"/>
        <v/>
      </c>
      <c r="E715" s="115"/>
      <c r="F715" s="115" t="str">
        <f t="shared" si="54"/>
        <v/>
      </c>
      <c r="H715"/>
    </row>
    <row r="716" spans="1:8">
      <c r="A716" s="113" t="e">
        <f t="shared" si="53"/>
        <v>#N/A</v>
      </c>
      <c r="B716" s="114" t="str">
        <f t="shared" si="50"/>
        <v/>
      </c>
      <c r="C716" s="115" t="str">
        <f t="shared" si="51"/>
        <v/>
      </c>
      <c r="D716" s="115" t="str">
        <f t="shared" si="52"/>
        <v/>
      </c>
      <c r="E716" s="115"/>
      <c r="F716" s="115" t="str">
        <f t="shared" si="54"/>
        <v/>
      </c>
      <c r="H716"/>
    </row>
    <row r="717" spans="1:8">
      <c r="A717" s="113" t="e">
        <f t="shared" si="53"/>
        <v>#N/A</v>
      </c>
      <c r="B717" s="114" t="str">
        <f t="shared" si="50"/>
        <v/>
      </c>
      <c r="C717" s="115" t="str">
        <f t="shared" si="51"/>
        <v/>
      </c>
      <c r="D717" s="115" t="str">
        <f t="shared" si="52"/>
        <v/>
      </c>
      <c r="E717" s="115"/>
      <c r="F717" s="115" t="str">
        <f t="shared" si="54"/>
        <v/>
      </c>
      <c r="H717"/>
    </row>
    <row r="718" spans="1:8">
      <c r="A718" s="113" t="e">
        <f t="shared" si="53"/>
        <v>#N/A</v>
      </c>
      <c r="B718" s="114" t="str">
        <f t="shared" si="50"/>
        <v/>
      </c>
      <c r="C718" s="115" t="str">
        <f t="shared" si="51"/>
        <v/>
      </c>
      <c r="D718" s="115" t="str">
        <f t="shared" si="52"/>
        <v/>
      </c>
      <c r="E718" s="115"/>
      <c r="F718" s="115" t="str">
        <f t="shared" si="54"/>
        <v/>
      </c>
      <c r="H718"/>
    </row>
    <row r="719" spans="1:8">
      <c r="A719" s="113" t="e">
        <f t="shared" si="53"/>
        <v>#N/A</v>
      </c>
      <c r="B719" s="114" t="str">
        <f t="shared" si="50"/>
        <v/>
      </c>
      <c r="C719" s="115" t="str">
        <f t="shared" si="51"/>
        <v/>
      </c>
      <c r="D719" s="115" t="str">
        <f t="shared" si="52"/>
        <v/>
      </c>
      <c r="E719" s="115"/>
      <c r="F719" s="115" t="str">
        <f t="shared" si="54"/>
        <v/>
      </c>
      <c r="H719"/>
    </row>
    <row r="720" spans="1:8">
      <c r="A720" s="113" t="e">
        <f t="shared" si="53"/>
        <v>#N/A</v>
      </c>
      <c r="B720" s="114" t="str">
        <f t="shared" si="50"/>
        <v/>
      </c>
      <c r="C720" s="115" t="str">
        <f t="shared" si="51"/>
        <v/>
      </c>
      <c r="D720" s="115" t="str">
        <f t="shared" si="52"/>
        <v/>
      </c>
      <c r="E720" s="115"/>
      <c r="F720" s="115" t="str">
        <f t="shared" si="54"/>
        <v/>
      </c>
      <c r="H720"/>
    </row>
    <row r="721" spans="1:8">
      <c r="A721" s="113" t="e">
        <f t="shared" si="53"/>
        <v>#N/A</v>
      </c>
      <c r="B721" s="114" t="str">
        <f t="shared" si="50"/>
        <v/>
      </c>
      <c r="C721" s="115" t="str">
        <f t="shared" si="51"/>
        <v/>
      </c>
      <c r="D721" s="115" t="str">
        <f t="shared" si="52"/>
        <v/>
      </c>
      <c r="E721" s="115"/>
      <c r="F721" s="115" t="str">
        <f t="shared" si="54"/>
        <v/>
      </c>
      <c r="H721"/>
    </row>
    <row r="722" spans="1:8">
      <c r="A722" s="113" t="e">
        <f t="shared" si="53"/>
        <v>#N/A</v>
      </c>
      <c r="B722" s="114" t="str">
        <f t="shared" si="50"/>
        <v/>
      </c>
      <c r="C722" s="115" t="str">
        <f t="shared" si="51"/>
        <v/>
      </c>
      <c r="D722" s="115" t="str">
        <f t="shared" si="52"/>
        <v/>
      </c>
      <c r="E722" s="115"/>
      <c r="F722" s="115" t="str">
        <f t="shared" si="54"/>
        <v/>
      </c>
      <c r="H722"/>
    </row>
    <row r="723" spans="1:8">
      <c r="A723" s="113" t="e">
        <f t="shared" si="53"/>
        <v>#N/A</v>
      </c>
      <c r="B723" s="114" t="str">
        <f t="shared" si="50"/>
        <v/>
      </c>
      <c r="C723" s="115" t="str">
        <f t="shared" si="51"/>
        <v/>
      </c>
      <c r="D723" s="115" t="str">
        <f t="shared" si="52"/>
        <v/>
      </c>
      <c r="E723" s="115"/>
      <c r="F723" s="115" t="str">
        <f t="shared" si="54"/>
        <v/>
      </c>
      <c r="H723"/>
    </row>
    <row r="724" spans="1:8">
      <c r="A724" s="113" t="e">
        <f t="shared" si="53"/>
        <v>#N/A</v>
      </c>
      <c r="B724" s="114" t="str">
        <f t="shared" si="50"/>
        <v/>
      </c>
      <c r="C724" s="115" t="str">
        <f t="shared" si="51"/>
        <v/>
      </c>
      <c r="D724" s="115" t="str">
        <f t="shared" si="52"/>
        <v/>
      </c>
      <c r="E724" s="115"/>
      <c r="F724" s="115" t="str">
        <f t="shared" si="54"/>
        <v/>
      </c>
      <c r="H724"/>
    </row>
    <row r="725" spans="1:8">
      <c r="A725" s="113" t="e">
        <f t="shared" si="53"/>
        <v>#N/A</v>
      </c>
      <c r="B725" s="114" t="str">
        <f t="shared" si="50"/>
        <v/>
      </c>
      <c r="C725" s="115" t="str">
        <f t="shared" si="51"/>
        <v/>
      </c>
      <c r="D725" s="115" t="str">
        <f t="shared" si="52"/>
        <v/>
      </c>
      <c r="E725" s="115"/>
      <c r="F725" s="115" t="str">
        <f t="shared" si="54"/>
        <v/>
      </c>
      <c r="H725"/>
    </row>
    <row r="726" spans="1:8">
      <c r="A726" s="113" t="e">
        <f t="shared" si="53"/>
        <v>#N/A</v>
      </c>
      <c r="B726" s="114" t="str">
        <f t="shared" si="50"/>
        <v/>
      </c>
      <c r="C726" s="115" t="str">
        <f t="shared" si="51"/>
        <v/>
      </c>
      <c r="D726" s="115" t="str">
        <f t="shared" si="52"/>
        <v/>
      </c>
      <c r="E726" s="115"/>
      <c r="F726" s="115" t="str">
        <f t="shared" si="54"/>
        <v/>
      </c>
      <c r="H726"/>
    </row>
    <row r="727" spans="1:8">
      <c r="A727" s="113" t="e">
        <f t="shared" si="53"/>
        <v>#N/A</v>
      </c>
      <c r="B727" s="114" t="str">
        <f t="shared" si="50"/>
        <v/>
      </c>
      <c r="C727" s="115" t="str">
        <f t="shared" si="51"/>
        <v/>
      </c>
      <c r="D727" s="115" t="str">
        <f t="shared" si="52"/>
        <v/>
      </c>
      <c r="E727" s="115"/>
      <c r="F727" s="115" t="str">
        <f t="shared" si="54"/>
        <v/>
      </c>
      <c r="H727"/>
    </row>
    <row r="728" spans="1:8">
      <c r="A728" s="113" t="e">
        <f t="shared" si="53"/>
        <v>#N/A</v>
      </c>
      <c r="B728" s="114" t="str">
        <f t="shared" si="50"/>
        <v/>
      </c>
      <c r="C728" s="115" t="str">
        <f t="shared" si="51"/>
        <v/>
      </c>
      <c r="D728" s="115" t="str">
        <f t="shared" si="52"/>
        <v/>
      </c>
      <c r="E728" s="115"/>
      <c r="F728" s="115" t="str">
        <f t="shared" si="54"/>
        <v/>
      </c>
      <c r="H728"/>
    </row>
    <row r="729" spans="1:8">
      <c r="A729" s="113" t="e">
        <f t="shared" si="53"/>
        <v>#N/A</v>
      </c>
      <c r="B729" s="114" t="str">
        <f t="shared" si="50"/>
        <v/>
      </c>
      <c r="C729" s="115" t="str">
        <f t="shared" si="51"/>
        <v/>
      </c>
      <c r="D729" s="115" t="str">
        <f t="shared" si="52"/>
        <v/>
      </c>
      <c r="E729" s="115"/>
      <c r="F729" s="115" t="str">
        <f t="shared" si="54"/>
        <v/>
      </c>
      <c r="H729"/>
    </row>
    <row r="730" spans="1:8">
      <c r="A730" s="113" t="e">
        <f t="shared" si="53"/>
        <v>#N/A</v>
      </c>
      <c r="B730" s="114" t="str">
        <f t="shared" si="50"/>
        <v/>
      </c>
      <c r="C730" s="115" t="str">
        <f t="shared" si="51"/>
        <v/>
      </c>
      <c r="D730" s="115" t="str">
        <f t="shared" si="52"/>
        <v/>
      </c>
      <c r="E730" s="115"/>
      <c r="F730" s="115" t="str">
        <f t="shared" si="54"/>
        <v/>
      </c>
      <c r="H730"/>
    </row>
    <row r="731" spans="1:8">
      <c r="A731" s="113" t="e">
        <f t="shared" si="53"/>
        <v>#N/A</v>
      </c>
      <c r="B731" s="114" t="str">
        <f t="shared" si="50"/>
        <v/>
      </c>
      <c r="C731" s="115" t="str">
        <f t="shared" si="51"/>
        <v/>
      </c>
      <c r="D731" s="115" t="str">
        <f t="shared" si="52"/>
        <v/>
      </c>
      <c r="E731" s="115"/>
      <c r="F731" s="115" t="str">
        <f t="shared" si="54"/>
        <v/>
      </c>
      <c r="H731"/>
    </row>
    <row r="732" spans="1:8">
      <c r="A732" s="113" t="e">
        <f t="shared" si="53"/>
        <v>#N/A</v>
      </c>
      <c r="B732" s="114" t="str">
        <f t="shared" ref="B732:B747" si="55">IF(ISERROR(A732),"",IF($D$9="Annually",EDATE(B731,12),EDATE(B731,1)))</f>
        <v/>
      </c>
      <c r="C732" s="115" t="str">
        <f t="shared" ref="C732:C747" si="56">IF(ISERROR(A732),"",ROUND(F731*rper,2))</f>
        <v/>
      </c>
      <c r="D732" s="115" t="str">
        <f t="shared" ref="D732:D747" si="57">IF(ISERROR(A732),"",MIN(ROUND(F731+C732,2),ROUND(FV($G$12,IF(type=1,A732,A731),,-$D$18),2)))</f>
        <v/>
      </c>
      <c r="E732" s="115"/>
      <c r="F732" s="115" t="str">
        <f t="shared" si="54"/>
        <v/>
      </c>
      <c r="H732"/>
    </row>
    <row r="733" spans="1:8">
      <c r="A733" s="113" t="e">
        <f t="shared" ref="A733:A747" si="58">IF(OR(F732="",F732&lt;=0),NA(),A732+1)</f>
        <v>#N/A</v>
      </c>
      <c r="B733" s="114" t="str">
        <f t="shared" si="55"/>
        <v/>
      </c>
      <c r="C733" s="115" t="str">
        <f t="shared" si="56"/>
        <v/>
      </c>
      <c r="D733" s="115" t="str">
        <f t="shared" si="57"/>
        <v/>
      </c>
      <c r="E733" s="115"/>
      <c r="F733" s="115" t="str">
        <f t="shared" ref="F733:F747" si="59">IF(ISERROR(A733),"",ROUND(F732-D733-E733+C733,2))</f>
        <v/>
      </c>
      <c r="H733"/>
    </row>
    <row r="734" spans="1:8">
      <c r="A734" s="113" t="e">
        <f t="shared" si="58"/>
        <v>#N/A</v>
      </c>
      <c r="B734" s="114" t="str">
        <f t="shared" si="55"/>
        <v/>
      </c>
      <c r="C734" s="115" t="str">
        <f t="shared" si="56"/>
        <v/>
      </c>
      <c r="D734" s="115" t="str">
        <f t="shared" si="57"/>
        <v/>
      </c>
      <c r="E734" s="115"/>
      <c r="F734" s="115" t="str">
        <f t="shared" si="59"/>
        <v/>
      </c>
      <c r="H734"/>
    </row>
    <row r="735" spans="1:8">
      <c r="A735" s="113" t="e">
        <f t="shared" si="58"/>
        <v>#N/A</v>
      </c>
      <c r="B735" s="114" t="str">
        <f t="shared" si="55"/>
        <v/>
      </c>
      <c r="C735" s="115" t="str">
        <f t="shared" si="56"/>
        <v/>
      </c>
      <c r="D735" s="115" t="str">
        <f t="shared" si="57"/>
        <v/>
      </c>
      <c r="E735" s="115"/>
      <c r="F735" s="115" t="str">
        <f t="shared" si="59"/>
        <v/>
      </c>
      <c r="H735"/>
    </row>
    <row r="736" spans="1:8">
      <c r="A736" s="113" t="e">
        <f t="shared" si="58"/>
        <v>#N/A</v>
      </c>
      <c r="B736" s="114" t="str">
        <f t="shared" si="55"/>
        <v/>
      </c>
      <c r="C736" s="115" t="str">
        <f t="shared" si="56"/>
        <v/>
      </c>
      <c r="D736" s="115" t="str">
        <f t="shared" si="57"/>
        <v/>
      </c>
      <c r="E736" s="115"/>
      <c r="F736" s="115" t="str">
        <f t="shared" si="59"/>
        <v/>
      </c>
      <c r="H736"/>
    </row>
    <row r="737" spans="1:8">
      <c r="A737" s="113" t="e">
        <f t="shared" si="58"/>
        <v>#N/A</v>
      </c>
      <c r="B737" s="114" t="str">
        <f t="shared" si="55"/>
        <v/>
      </c>
      <c r="C737" s="115" t="str">
        <f t="shared" si="56"/>
        <v/>
      </c>
      <c r="D737" s="115" t="str">
        <f t="shared" si="57"/>
        <v/>
      </c>
      <c r="E737" s="115"/>
      <c r="F737" s="115" t="str">
        <f t="shared" si="59"/>
        <v/>
      </c>
      <c r="H737"/>
    </row>
    <row r="738" spans="1:8">
      <c r="A738" s="113" t="e">
        <f t="shared" si="58"/>
        <v>#N/A</v>
      </c>
      <c r="B738" s="114" t="str">
        <f t="shared" si="55"/>
        <v/>
      </c>
      <c r="C738" s="115" t="str">
        <f t="shared" si="56"/>
        <v/>
      </c>
      <c r="D738" s="115" t="str">
        <f t="shared" si="57"/>
        <v/>
      </c>
      <c r="E738" s="115"/>
      <c r="F738" s="115" t="str">
        <f t="shared" si="59"/>
        <v/>
      </c>
      <c r="H738"/>
    </row>
    <row r="739" spans="1:8">
      <c r="A739" s="113" t="e">
        <f t="shared" si="58"/>
        <v>#N/A</v>
      </c>
      <c r="B739" s="114" t="str">
        <f t="shared" si="55"/>
        <v/>
      </c>
      <c r="C739" s="115" t="str">
        <f t="shared" si="56"/>
        <v/>
      </c>
      <c r="D739" s="115" t="str">
        <f t="shared" si="57"/>
        <v/>
      </c>
      <c r="E739" s="115"/>
      <c r="F739" s="115" t="str">
        <f t="shared" si="59"/>
        <v/>
      </c>
      <c r="H739"/>
    </row>
    <row r="740" spans="1:8">
      <c r="A740" s="113" t="e">
        <f t="shared" si="58"/>
        <v>#N/A</v>
      </c>
      <c r="B740" s="114" t="str">
        <f t="shared" si="55"/>
        <v/>
      </c>
      <c r="C740" s="115" t="str">
        <f t="shared" si="56"/>
        <v/>
      </c>
      <c r="D740" s="115" t="str">
        <f t="shared" si="57"/>
        <v/>
      </c>
      <c r="E740" s="115"/>
      <c r="F740" s="115" t="str">
        <f t="shared" si="59"/>
        <v/>
      </c>
      <c r="H740"/>
    </row>
    <row r="741" spans="1:8">
      <c r="A741" s="113" t="e">
        <f t="shared" si="58"/>
        <v>#N/A</v>
      </c>
      <c r="B741" s="114" t="str">
        <f t="shared" si="55"/>
        <v/>
      </c>
      <c r="C741" s="115" t="str">
        <f t="shared" si="56"/>
        <v/>
      </c>
      <c r="D741" s="115" t="str">
        <f t="shared" si="57"/>
        <v/>
      </c>
      <c r="E741" s="115"/>
      <c r="F741" s="115" t="str">
        <f t="shared" si="59"/>
        <v/>
      </c>
      <c r="H741"/>
    </row>
    <row r="742" spans="1:8">
      <c r="A742" s="113" t="e">
        <f t="shared" si="58"/>
        <v>#N/A</v>
      </c>
      <c r="B742" s="114" t="str">
        <f t="shared" si="55"/>
        <v/>
      </c>
      <c r="C742" s="115" t="str">
        <f t="shared" si="56"/>
        <v/>
      </c>
      <c r="D742" s="115" t="str">
        <f t="shared" si="57"/>
        <v/>
      </c>
      <c r="E742" s="115"/>
      <c r="F742" s="115" t="str">
        <f t="shared" si="59"/>
        <v/>
      </c>
      <c r="H742"/>
    </row>
    <row r="743" spans="1:8">
      <c r="A743" s="113" t="e">
        <f t="shared" si="58"/>
        <v>#N/A</v>
      </c>
      <c r="B743" s="114" t="str">
        <f t="shared" si="55"/>
        <v/>
      </c>
      <c r="C743" s="115" t="str">
        <f t="shared" si="56"/>
        <v/>
      </c>
      <c r="D743" s="115" t="str">
        <f t="shared" si="57"/>
        <v/>
      </c>
      <c r="E743" s="115"/>
      <c r="F743" s="115" t="str">
        <f t="shared" si="59"/>
        <v/>
      </c>
      <c r="H743"/>
    </row>
    <row r="744" spans="1:8">
      <c r="A744" s="113" t="e">
        <f t="shared" si="58"/>
        <v>#N/A</v>
      </c>
      <c r="B744" s="114" t="str">
        <f t="shared" si="55"/>
        <v/>
      </c>
      <c r="C744" s="115" t="str">
        <f t="shared" si="56"/>
        <v/>
      </c>
      <c r="D744" s="115" t="str">
        <f t="shared" si="57"/>
        <v/>
      </c>
      <c r="E744" s="115"/>
      <c r="F744" s="115" t="str">
        <f t="shared" si="59"/>
        <v/>
      </c>
      <c r="H744"/>
    </row>
    <row r="745" spans="1:8">
      <c r="A745" s="113" t="e">
        <f t="shared" si="58"/>
        <v>#N/A</v>
      </c>
      <c r="B745" s="114" t="str">
        <f t="shared" si="55"/>
        <v/>
      </c>
      <c r="C745" s="115" t="str">
        <f t="shared" si="56"/>
        <v/>
      </c>
      <c r="D745" s="115" t="str">
        <f t="shared" si="57"/>
        <v/>
      </c>
      <c r="E745" s="115"/>
      <c r="F745" s="115" t="str">
        <f t="shared" si="59"/>
        <v/>
      </c>
      <c r="H745"/>
    </row>
    <row r="746" spans="1:8">
      <c r="A746" s="113" t="e">
        <f t="shared" si="58"/>
        <v>#N/A</v>
      </c>
      <c r="B746" s="114" t="str">
        <f t="shared" si="55"/>
        <v/>
      </c>
      <c r="C746" s="115" t="str">
        <f t="shared" si="56"/>
        <v/>
      </c>
      <c r="D746" s="115" t="str">
        <f t="shared" si="57"/>
        <v/>
      </c>
      <c r="E746" s="115"/>
      <c r="F746" s="115" t="str">
        <f t="shared" si="59"/>
        <v/>
      </c>
      <c r="H746"/>
    </row>
    <row r="747" spans="1:8">
      <c r="A747" s="113" t="e">
        <f t="shared" si="58"/>
        <v>#N/A</v>
      </c>
      <c r="B747" s="114" t="str">
        <f t="shared" si="55"/>
        <v/>
      </c>
      <c r="C747" s="115" t="str">
        <f t="shared" si="56"/>
        <v/>
      </c>
      <c r="D747" s="115" t="str">
        <f t="shared" si="57"/>
        <v/>
      </c>
      <c r="E747" s="115"/>
      <c r="F747" s="115" t="str">
        <f t="shared" si="59"/>
        <v/>
      </c>
      <c r="H747"/>
    </row>
    <row r="748" spans="1:8">
      <c r="A748" s="116"/>
      <c r="B748" s="116"/>
      <c r="C748" s="117"/>
      <c r="D748" s="117"/>
      <c r="E748" s="117"/>
      <c r="F748" s="116"/>
      <c r="H748"/>
    </row>
  </sheetData>
  <mergeCells count="2">
    <mergeCell ref="A2:E2"/>
    <mergeCell ref="A5:E5"/>
  </mergeCells>
  <conditionalFormatting sqref="A28:A747">
    <cfRule type="expression" dxfId="10" priority="10" stopIfTrue="1">
      <formula>ISERROR(A28)</formula>
    </cfRule>
    <cfRule type="expression" dxfId="9" priority="11" stopIfTrue="1">
      <formula>MOD(ROW(),2)=1</formula>
    </cfRule>
  </conditionalFormatting>
  <conditionalFormatting sqref="B28:B747">
    <cfRule type="expression" dxfId="8" priority="1" stopIfTrue="1">
      <formula>ISERROR(A28)</formula>
    </cfRule>
    <cfRule type="expression" dxfId="7" priority="2" stopIfTrue="1">
      <formula>MOD(ROW(),2)=1</formula>
    </cfRule>
  </conditionalFormatting>
  <conditionalFormatting sqref="C28:C747">
    <cfRule type="expression" dxfId="6" priority="3" stopIfTrue="1">
      <formula>ISERROR(A28)</formula>
    </cfRule>
    <cfRule type="expression" dxfId="5" priority="4" stopIfTrue="1">
      <formula>MOD(ROW(),2)=1</formula>
    </cfRule>
  </conditionalFormatting>
  <conditionalFormatting sqref="D28:D747">
    <cfRule type="expression" dxfId="4" priority="5" stopIfTrue="1">
      <formula>ISERROR(A28)</formula>
    </cfRule>
    <cfRule type="expression" dxfId="3" priority="6" stopIfTrue="1">
      <formula>MOD(ROW(),2)=1</formula>
    </cfRule>
  </conditionalFormatting>
  <conditionalFormatting sqref="E28:E65536">
    <cfRule type="expression" dxfId="2" priority="7" stopIfTrue="1">
      <formula>AND(NOT(ISERROR(A28)),MOD(ROW(),2)=1)</formula>
    </cfRule>
  </conditionalFormatting>
  <conditionalFormatting sqref="F28:F747">
    <cfRule type="expression" dxfId="1" priority="8" stopIfTrue="1">
      <formula>ISERROR(A28)</formula>
    </cfRule>
    <cfRule type="expression" dxfId="0" priority="9" stopIfTrue="1">
      <formula>MOD(ROW(),2)=1</formula>
    </cfRule>
  </conditionalFormatting>
  <dataValidations count="2">
    <dataValidation type="list" allowBlank="1" showInputMessage="1" showErrorMessage="1" sqref="D11" xr:uid="{00000000-0002-0000-7600-000000000000}">
      <formula1>"Beginning of Period, End of Period"</formula1>
    </dataValidation>
    <dataValidation type="list" allowBlank="1" showInputMessage="1" showErrorMessage="1" sqref="D9" xr:uid="{00000000-0002-0000-7600-000001000000}">
      <formula1>"Monthly, Annually"</formula1>
    </dataValidation>
  </dataValidations>
  <pageMargins left="0.7" right="0.7" top="0.75" bottom="0.75" header="0.3" footer="0.3"/>
  <drawing r:id="rId1"/>
  <legacy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T57"/>
  <sheetViews>
    <sheetView showGridLines="0" workbookViewId="0"/>
  </sheetViews>
  <sheetFormatPr defaultRowHeight="12.45"/>
  <cols>
    <col min="1" max="2" width="12.875" customWidth="1"/>
    <col min="3" max="3" width="15.125" customWidth="1"/>
    <col min="10" max="10" width="14.875" customWidth="1"/>
    <col min="11" max="12" width="13.625" customWidth="1"/>
    <col min="14" max="20" width="9.125" style="75"/>
  </cols>
  <sheetData>
    <row r="1" spans="1:13" ht="24.25">
      <c r="A1" s="135" t="s">
        <v>72</v>
      </c>
      <c r="B1" s="134" t="s">
        <v>73</v>
      </c>
      <c r="C1" s="133" t="s">
        <v>74</v>
      </c>
      <c r="D1" s="2204" t="s">
        <v>989</v>
      </c>
      <c r="E1" s="2204"/>
      <c r="F1" s="2204"/>
      <c r="G1" s="2204"/>
      <c r="H1" s="2204"/>
      <c r="I1" s="2204"/>
      <c r="J1" s="2204"/>
      <c r="K1" s="2204"/>
      <c r="L1" s="2204"/>
      <c r="M1" s="2204"/>
    </row>
    <row r="2" spans="1:13" ht="18.350000000000001">
      <c r="A2" s="132">
        <v>90000</v>
      </c>
      <c r="B2" s="131">
        <v>61000</v>
      </c>
      <c r="C2" s="130">
        <v>1115000</v>
      </c>
      <c r="D2" s="2213" t="s">
        <v>891</v>
      </c>
      <c r="E2" s="2213"/>
      <c r="F2" s="2213"/>
      <c r="G2" s="2213"/>
      <c r="H2" s="2213"/>
      <c r="I2" s="2213"/>
      <c r="J2" s="2213"/>
      <c r="K2" s="2213"/>
      <c r="L2" s="2213"/>
      <c r="M2" s="2213"/>
    </row>
    <row r="3" spans="1:13">
      <c r="A3" s="34"/>
      <c r="B3" s="118"/>
      <c r="C3" s="35"/>
      <c r="D3" s="75"/>
      <c r="E3" s="75"/>
      <c r="F3" s="75"/>
      <c r="G3" s="75"/>
      <c r="H3" s="75"/>
      <c r="I3" s="75"/>
      <c r="J3" s="75"/>
      <c r="K3" s="75"/>
      <c r="L3" s="75"/>
      <c r="M3" s="75"/>
    </row>
    <row r="4" spans="1:13" ht="14.4">
      <c r="A4" s="34"/>
      <c r="B4" s="118"/>
      <c r="C4" s="35"/>
      <c r="D4" s="75"/>
      <c r="E4" s="75"/>
      <c r="F4" s="75"/>
      <c r="G4" s="75"/>
      <c r="H4" s="75"/>
      <c r="I4" s="2214" t="s">
        <v>990</v>
      </c>
      <c r="J4" s="2215"/>
      <c r="K4" s="2215"/>
      <c r="L4" s="2215"/>
      <c r="M4" s="2215"/>
    </row>
    <row r="5" spans="1:13" ht="18.350000000000001">
      <c r="A5" s="34"/>
      <c r="B5" s="118"/>
      <c r="C5" s="35"/>
      <c r="D5" s="75"/>
      <c r="E5" s="75"/>
      <c r="F5" s="75"/>
      <c r="G5" s="75"/>
      <c r="H5" s="75"/>
      <c r="I5" s="2216" t="s">
        <v>991</v>
      </c>
      <c r="J5" s="2217"/>
      <c r="K5" s="2217"/>
      <c r="L5" s="2217"/>
      <c r="M5" s="2217"/>
    </row>
    <row r="6" spans="1:13">
      <c r="I6" s="188"/>
      <c r="J6" s="189"/>
      <c r="K6" s="189"/>
      <c r="L6" s="189"/>
      <c r="M6" s="189"/>
    </row>
    <row r="7" spans="1:13" ht="15.75">
      <c r="I7" s="2218" t="s">
        <v>992</v>
      </c>
      <c r="J7" s="2218"/>
      <c r="K7" s="2218"/>
      <c r="L7" s="2218"/>
      <c r="M7" s="2218"/>
    </row>
    <row r="8" spans="1:13">
      <c r="I8" s="183" t="s">
        <v>145</v>
      </c>
      <c r="J8" s="182" t="s">
        <v>204</v>
      </c>
      <c r="K8" s="2230" t="s">
        <v>993</v>
      </c>
      <c r="L8" s="2231"/>
      <c r="M8" s="2231"/>
    </row>
    <row r="9" spans="1:13" ht="18.350000000000001">
      <c r="I9" s="162" t="s">
        <v>242</v>
      </c>
      <c r="J9" s="165">
        <v>61903.96</v>
      </c>
      <c r="K9" s="158" t="s">
        <v>785</v>
      </c>
      <c r="L9" s="161" t="s">
        <v>786</v>
      </c>
      <c r="M9" s="176"/>
    </row>
    <row r="10" spans="1:13" ht="15.75">
      <c r="I10" s="173" t="s">
        <v>994</v>
      </c>
      <c r="J10" s="172">
        <v>65692.97</v>
      </c>
      <c r="K10" s="159">
        <v>41718.870000000003</v>
      </c>
      <c r="L10" s="160">
        <v>46982.22</v>
      </c>
      <c r="M10" s="170"/>
    </row>
    <row r="11" spans="1:13" ht="15.05">
      <c r="I11" s="2229"/>
      <c r="J11" s="2229"/>
      <c r="K11" s="2229"/>
      <c r="L11" s="2229"/>
      <c r="M11" s="2229"/>
    </row>
    <row r="12" spans="1:13" ht="15.75">
      <c r="I12" s="2218" t="s">
        <v>995</v>
      </c>
      <c r="J12" s="2218"/>
      <c r="K12" s="2218"/>
      <c r="L12" s="2218"/>
      <c r="M12" s="2218"/>
    </row>
    <row r="13" spans="1:13">
      <c r="I13" s="183" t="s">
        <v>145</v>
      </c>
      <c r="J13" s="182" t="s">
        <v>204</v>
      </c>
      <c r="K13" s="2230" t="s">
        <v>996</v>
      </c>
      <c r="L13" s="2231"/>
      <c r="M13" s="2231"/>
    </row>
    <row r="14" spans="1:13" ht="15.75">
      <c r="I14" s="162" t="s">
        <v>242</v>
      </c>
      <c r="J14" s="165">
        <v>41813.21</v>
      </c>
      <c r="K14" s="158" t="s">
        <v>785</v>
      </c>
      <c r="L14" s="161" t="s">
        <v>786</v>
      </c>
      <c r="M14" s="177"/>
    </row>
    <row r="15" spans="1:13" ht="15.75">
      <c r="I15" s="162" t="s">
        <v>994</v>
      </c>
      <c r="J15" s="171">
        <v>79065.67</v>
      </c>
      <c r="K15" s="159">
        <v>55299.08</v>
      </c>
      <c r="L15" s="160">
        <v>62275.75</v>
      </c>
      <c r="M15" s="170"/>
    </row>
    <row r="16" spans="1:13" ht="14.4">
      <c r="I16" s="2225"/>
      <c r="J16" s="2226"/>
      <c r="K16" s="2226"/>
      <c r="L16" s="2226"/>
      <c r="M16" s="2226"/>
    </row>
    <row r="17" spans="9:14" ht="14.4">
      <c r="I17" s="2219" t="s">
        <v>997</v>
      </c>
      <c r="J17" s="2220"/>
      <c r="K17" s="2220"/>
      <c r="L17" s="2220"/>
      <c r="M17" s="2220"/>
    </row>
    <row r="18" spans="9:14" ht="14.4">
      <c r="I18" s="2219" t="s">
        <v>998</v>
      </c>
      <c r="J18" s="2220"/>
      <c r="K18" s="2220"/>
      <c r="L18" s="2220"/>
      <c r="M18" s="2220"/>
    </row>
    <row r="19" spans="9:14" ht="18.350000000000001">
      <c r="I19" s="2221" t="s">
        <v>999</v>
      </c>
      <c r="J19" s="2222"/>
      <c r="K19" s="2222"/>
      <c r="L19" s="2222"/>
      <c r="M19" s="2222"/>
    </row>
    <row r="20" spans="9:14">
      <c r="I20" s="2234"/>
      <c r="J20" s="2235"/>
      <c r="K20" s="2235"/>
      <c r="L20" s="2235"/>
      <c r="M20" s="2235"/>
    </row>
    <row r="21" spans="9:14" ht="18.350000000000001">
      <c r="I21" s="2199"/>
      <c r="J21" s="2199"/>
      <c r="K21" s="2199"/>
      <c r="L21" s="2199"/>
      <c r="M21" s="2199"/>
    </row>
    <row r="22" spans="9:14" ht="15.05">
      <c r="I22" s="2227" t="s">
        <v>1000</v>
      </c>
      <c r="J22" s="2227"/>
      <c r="K22" s="2227"/>
      <c r="L22" s="2227"/>
      <c r="M22" s="2227"/>
    </row>
    <row r="23" spans="9:14" ht="13.1">
      <c r="I23" s="185" t="s">
        <v>145</v>
      </c>
      <c r="J23" s="186" t="s">
        <v>204</v>
      </c>
      <c r="K23" s="2232" t="s">
        <v>1001</v>
      </c>
      <c r="L23" s="2233"/>
      <c r="M23" s="2233"/>
    </row>
    <row r="24" spans="9:14" ht="15.75">
      <c r="I24" s="164" t="s">
        <v>242</v>
      </c>
      <c r="J24" s="163">
        <v>87175.96</v>
      </c>
      <c r="K24" s="158" t="s">
        <v>785</v>
      </c>
      <c r="L24" s="161" t="s">
        <v>786</v>
      </c>
      <c r="M24" s="179"/>
    </row>
    <row r="25" spans="9:14" ht="15.75">
      <c r="I25" s="174" t="s">
        <v>994</v>
      </c>
      <c r="J25" s="175">
        <v>92278.83</v>
      </c>
      <c r="K25" s="166">
        <v>66990.87</v>
      </c>
      <c r="L25" s="167">
        <v>72254.22</v>
      </c>
      <c r="M25" s="178"/>
    </row>
    <row r="26" spans="9:14" ht="15.05">
      <c r="I26" s="2228"/>
      <c r="J26" s="2228"/>
      <c r="K26" s="2228"/>
      <c r="L26" s="2228"/>
      <c r="M26" s="2228"/>
    </row>
    <row r="27" spans="9:14" ht="15.05">
      <c r="I27" s="2227" t="s">
        <v>1002</v>
      </c>
      <c r="J27" s="2227"/>
      <c r="K27" s="2227"/>
      <c r="L27" s="2227"/>
      <c r="M27" s="2227"/>
      <c r="N27" s="184"/>
    </row>
    <row r="28" spans="9:14" ht="13.1">
      <c r="I28" s="185" t="s">
        <v>145</v>
      </c>
      <c r="J28" s="186" t="s">
        <v>204</v>
      </c>
      <c r="K28" s="2232" t="s">
        <v>1003</v>
      </c>
      <c r="L28" s="2233"/>
      <c r="M28" s="2233"/>
    </row>
    <row r="29" spans="9:14" ht="15.75">
      <c r="I29" s="164" t="s">
        <v>242</v>
      </c>
      <c r="J29" s="163">
        <v>67063.960000000006</v>
      </c>
      <c r="K29" s="158" t="s">
        <v>785</v>
      </c>
      <c r="L29" s="161" t="s">
        <v>786</v>
      </c>
      <c r="M29" s="180"/>
    </row>
    <row r="30" spans="9:14" ht="15.75">
      <c r="I30" s="174" t="s">
        <v>994</v>
      </c>
      <c r="J30" s="175">
        <v>104337.67</v>
      </c>
      <c r="K30" s="166">
        <v>80571.08</v>
      </c>
      <c r="L30" s="167">
        <v>87547.75</v>
      </c>
      <c r="M30" s="181"/>
    </row>
    <row r="31" spans="9:14" ht="15.05">
      <c r="I31" s="2223"/>
      <c r="J31" s="2223"/>
      <c r="K31" s="2223"/>
      <c r="L31" s="2223"/>
      <c r="M31" s="2223"/>
    </row>
    <row r="32" spans="9:14" ht="15.05">
      <c r="I32" s="2224" t="s">
        <v>1004</v>
      </c>
      <c r="J32" s="2224"/>
      <c r="K32" s="2224"/>
      <c r="L32" s="2224"/>
      <c r="M32" s="2224"/>
    </row>
    <row r="33" spans="9:13" ht="15.05">
      <c r="I33" s="169"/>
      <c r="J33" s="169"/>
      <c r="K33" s="187">
        <v>1</v>
      </c>
      <c r="L33" s="169"/>
      <c r="M33" s="169"/>
    </row>
    <row r="34" spans="9:13" ht="15.05">
      <c r="I34" s="2223"/>
      <c r="J34" s="2223"/>
      <c r="K34" s="2223"/>
      <c r="L34" s="2223"/>
      <c r="M34" s="2223"/>
    </row>
    <row r="35" spans="9:13" ht="15.05">
      <c r="I35" s="2224"/>
      <c r="J35" s="2224"/>
      <c r="K35" s="2224"/>
      <c r="L35" s="2224"/>
      <c r="M35" s="2224"/>
    </row>
    <row r="36" spans="9:13" ht="15.05">
      <c r="I36" s="168"/>
      <c r="J36" s="168"/>
      <c r="K36" s="168"/>
      <c r="L36" s="168"/>
      <c r="M36" s="168"/>
    </row>
    <row r="37" spans="9:13">
      <c r="I37" s="157"/>
      <c r="J37" s="157"/>
      <c r="K37" s="157"/>
      <c r="L37" s="157"/>
      <c r="M37" s="157"/>
    </row>
    <row r="54" spans="1:5" ht="15.05">
      <c r="A54" s="2210" t="s">
        <v>1005</v>
      </c>
      <c r="B54" s="2211"/>
      <c r="C54" s="2211"/>
      <c r="D54" s="2211"/>
      <c r="E54" s="2212"/>
    </row>
    <row r="55" spans="1:5" ht="15.05">
      <c r="A55" s="2202" t="s">
        <v>1006</v>
      </c>
      <c r="B55" s="2202"/>
      <c r="C55" s="2202"/>
      <c r="D55" s="2202"/>
      <c r="E55" s="2202"/>
    </row>
    <row r="56" spans="1:5" ht="15.05">
      <c r="A56" s="2202" t="s">
        <v>1007</v>
      </c>
      <c r="B56" s="2202"/>
      <c r="C56" s="2202"/>
      <c r="D56" s="2202"/>
      <c r="E56" s="2202"/>
    </row>
    <row r="57" spans="1:5" ht="15.05">
      <c r="A57" s="2202" t="s">
        <v>1008</v>
      </c>
      <c r="B57" s="2202"/>
      <c r="C57" s="2202"/>
      <c r="D57" s="2202"/>
      <c r="E57" s="2202"/>
    </row>
  </sheetData>
  <mergeCells count="28">
    <mergeCell ref="K8:M8"/>
    <mergeCell ref="K13:M13"/>
    <mergeCell ref="K23:M23"/>
    <mergeCell ref="K28:M28"/>
    <mergeCell ref="I12:M12"/>
    <mergeCell ref="I21:M21"/>
    <mergeCell ref="I20:M20"/>
    <mergeCell ref="I31:M31"/>
    <mergeCell ref="I27:M27"/>
    <mergeCell ref="I26:M26"/>
    <mergeCell ref="I22:M22"/>
    <mergeCell ref="I11:M11"/>
    <mergeCell ref="A56:E56"/>
    <mergeCell ref="A57:E57"/>
    <mergeCell ref="A54:E54"/>
    <mergeCell ref="D1:M1"/>
    <mergeCell ref="D2:M2"/>
    <mergeCell ref="I4:M4"/>
    <mergeCell ref="I5:M5"/>
    <mergeCell ref="A55:E55"/>
    <mergeCell ref="I7:M7"/>
    <mergeCell ref="I17:M17"/>
    <mergeCell ref="I18:M18"/>
    <mergeCell ref="I19:M19"/>
    <mergeCell ref="I34:M34"/>
    <mergeCell ref="I35:M35"/>
    <mergeCell ref="I16:M16"/>
    <mergeCell ref="I32:M32"/>
  </mergeCells>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T25"/>
  <sheetViews>
    <sheetView showGridLines="0" workbookViewId="0"/>
  </sheetViews>
  <sheetFormatPr defaultRowHeight="12.45"/>
  <cols>
    <col min="1" max="1" width="12.875" customWidth="1"/>
    <col min="2" max="3" width="15.125" customWidth="1"/>
    <col min="10" max="10" width="11.875" customWidth="1"/>
    <col min="11" max="11" width="12" customWidth="1"/>
    <col min="12" max="12" width="10.875" customWidth="1"/>
    <col min="14" max="20" width="9.125" style="75"/>
  </cols>
  <sheetData>
    <row r="1" spans="1:13" ht="24.25">
      <c r="A1" s="135" t="s">
        <v>72</v>
      </c>
      <c r="B1" s="134" t="s">
        <v>73</v>
      </c>
      <c r="C1" s="133" t="s">
        <v>74</v>
      </c>
      <c r="D1" s="2204" t="s">
        <v>1009</v>
      </c>
      <c r="E1" s="2204"/>
      <c r="F1" s="2204"/>
      <c r="G1" s="2204"/>
      <c r="H1" s="2204"/>
      <c r="I1" s="2204"/>
      <c r="J1" s="2204"/>
      <c r="K1" s="2204"/>
      <c r="L1" s="2204"/>
      <c r="M1" s="2204"/>
    </row>
    <row r="2" spans="1:13" ht="18.350000000000001">
      <c r="A2" s="132">
        <v>90000</v>
      </c>
      <c r="B2" s="131">
        <v>61000</v>
      </c>
      <c r="C2" s="130">
        <v>1115000</v>
      </c>
      <c r="D2" s="2236" t="s">
        <v>1010</v>
      </c>
      <c r="E2" s="2236"/>
      <c r="F2" s="2236"/>
      <c r="G2" s="2236"/>
      <c r="H2" s="2236"/>
      <c r="I2" s="2236"/>
      <c r="J2" s="2236"/>
      <c r="K2" s="2236"/>
      <c r="L2" s="2236"/>
      <c r="M2" s="2236"/>
    </row>
    <row r="3" spans="1:13">
      <c r="A3" s="34"/>
      <c r="B3" s="118"/>
      <c r="C3" s="35"/>
      <c r="D3" s="75"/>
      <c r="E3" s="75"/>
      <c r="F3" s="75"/>
      <c r="G3" s="75"/>
      <c r="H3" s="75"/>
      <c r="I3" s="75"/>
      <c r="J3" s="75"/>
      <c r="K3" s="75"/>
      <c r="L3" s="75"/>
      <c r="M3" s="75"/>
    </row>
    <row r="4" spans="1:13" ht="18.350000000000001">
      <c r="A4" s="34"/>
      <c r="B4" s="118"/>
      <c r="C4" s="35"/>
      <c r="D4" s="2237" t="s">
        <v>1011</v>
      </c>
      <c r="E4" s="2237"/>
      <c r="F4" s="2237"/>
      <c r="G4" s="2237"/>
      <c r="H4" s="2237"/>
      <c r="I4" s="2237"/>
      <c r="J4" s="2237"/>
      <c r="K4" s="2237"/>
      <c r="L4" s="2237"/>
      <c r="M4" s="2237"/>
    </row>
    <row r="5" spans="1:13">
      <c r="A5" s="34"/>
      <c r="B5" s="118"/>
      <c r="C5" s="35"/>
      <c r="D5" s="75"/>
      <c r="E5" s="75"/>
      <c r="F5" s="75"/>
      <c r="G5" s="75"/>
      <c r="H5" s="75"/>
      <c r="I5" s="1891"/>
      <c r="J5" s="1891"/>
      <c r="K5" s="1891"/>
      <c r="L5" s="1891"/>
      <c r="M5" s="1891"/>
    </row>
    <row r="6" spans="1:13" ht="15.05">
      <c r="I6" s="1818"/>
      <c r="J6" s="2202"/>
      <c r="K6" s="2202"/>
      <c r="L6" s="2202"/>
      <c r="M6" s="2202"/>
    </row>
    <row r="7" spans="1:13" ht="15.75">
      <c r="I7" s="2203" t="s">
        <v>939</v>
      </c>
      <c r="J7" s="2202"/>
      <c r="K7" s="2202"/>
      <c r="L7" s="2202"/>
      <c r="M7" s="2202"/>
    </row>
    <row r="8" spans="1:13" ht="15.05">
      <c r="I8" s="129" t="s">
        <v>252</v>
      </c>
      <c r="J8" s="123">
        <v>81854.070000000007</v>
      </c>
      <c r="K8" s="124">
        <v>68854.070000000007</v>
      </c>
      <c r="L8" s="125">
        <v>42563.43</v>
      </c>
      <c r="M8" s="75"/>
    </row>
    <row r="9" spans="1:13" ht="15.05">
      <c r="I9" s="129" t="s">
        <v>940</v>
      </c>
      <c r="J9" s="126">
        <v>85918.06</v>
      </c>
      <c r="K9" s="1818" t="s">
        <v>941</v>
      </c>
      <c r="L9" s="1818"/>
      <c r="M9" s="1818"/>
    </row>
    <row r="10" spans="1:13">
      <c r="I10" s="75"/>
      <c r="J10" s="75"/>
      <c r="K10" s="75"/>
      <c r="L10" s="75"/>
      <c r="M10" s="75"/>
    </row>
    <row r="11" spans="1:13" ht="15.05">
      <c r="I11" s="1818" t="s">
        <v>942</v>
      </c>
      <c r="J11" s="1818"/>
      <c r="K11" s="1818"/>
      <c r="L11" s="1818"/>
      <c r="M11" s="1818"/>
    </row>
    <row r="12" spans="1:13" ht="15.75">
      <c r="I12" s="2203" t="s">
        <v>939</v>
      </c>
      <c r="J12" s="2202"/>
      <c r="K12" s="2202"/>
      <c r="L12" s="2202"/>
      <c r="M12" s="2202"/>
    </row>
    <row r="13" spans="1:13" ht="15.05">
      <c r="I13" s="129" t="s">
        <v>252</v>
      </c>
      <c r="J13" s="123">
        <v>91252</v>
      </c>
      <c r="K13" s="127">
        <v>105872.67</v>
      </c>
      <c r="L13" s="128">
        <v>80619.86</v>
      </c>
      <c r="M13" s="75"/>
    </row>
    <row r="14" spans="1:13" ht="15.05">
      <c r="I14" s="129" t="s">
        <v>943</v>
      </c>
      <c r="J14" s="123">
        <v>120273.87</v>
      </c>
      <c r="K14" s="1818" t="s">
        <v>944</v>
      </c>
      <c r="L14" s="1818"/>
      <c r="M14" s="1818"/>
    </row>
    <row r="15" spans="1:13">
      <c r="I15" s="75"/>
      <c r="J15" s="75"/>
      <c r="K15" s="75"/>
      <c r="L15" s="75"/>
      <c r="M15" s="75"/>
    </row>
    <row r="16" spans="1:13" ht="15.05">
      <c r="I16" s="1818" t="s">
        <v>945</v>
      </c>
      <c r="J16" s="1818"/>
      <c r="K16" s="1818"/>
      <c r="L16" s="1818"/>
      <c r="M16" s="1818"/>
    </row>
    <row r="17" spans="9:13" ht="15.75">
      <c r="I17" s="2203" t="s">
        <v>939</v>
      </c>
      <c r="J17" s="2202"/>
      <c r="K17" s="2202"/>
      <c r="L17" s="2202"/>
      <c r="M17" s="2202"/>
    </row>
    <row r="18" spans="9:13" ht="15.05">
      <c r="I18" s="129" t="s">
        <v>252</v>
      </c>
      <c r="J18" s="123">
        <v>101829</v>
      </c>
      <c r="K18" s="127">
        <v>90674.69</v>
      </c>
      <c r="L18" s="128">
        <v>62768.480000000003</v>
      </c>
      <c r="M18" s="75"/>
    </row>
    <row r="19" spans="9:13" ht="15.05">
      <c r="I19" s="129" t="s">
        <v>940</v>
      </c>
      <c r="J19" s="123">
        <v>106123.06</v>
      </c>
      <c r="K19" s="1818" t="s">
        <v>946</v>
      </c>
      <c r="L19" s="1891"/>
      <c r="M19" s="1891"/>
    </row>
    <row r="20" spans="9:13">
      <c r="I20" s="1891"/>
      <c r="J20" s="1891"/>
      <c r="K20" s="1891"/>
      <c r="L20" s="1891"/>
      <c r="M20" s="1891"/>
    </row>
    <row r="21" spans="9:13" ht="15.05">
      <c r="I21" s="1818" t="s">
        <v>947</v>
      </c>
      <c r="J21" s="2202"/>
      <c r="K21" s="2202"/>
      <c r="L21" s="2202"/>
      <c r="M21" s="2202"/>
    </row>
    <row r="22" spans="9:13" ht="15.05">
      <c r="I22" s="2202" t="s">
        <v>1012</v>
      </c>
      <c r="J22" s="2202"/>
      <c r="K22" s="2202"/>
      <c r="L22" s="2202"/>
      <c r="M22" s="2202"/>
    </row>
    <row r="23" spans="9:13" ht="15.05">
      <c r="I23" s="2202" t="s">
        <v>1013</v>
      </c>
      <c r="J23" s="2202"/>
      <c r="K23" s="2202"/>
      <c r="L23" s="2202"/>
      <c r="M23" s="2202"/>
    </row>
    <row r="24" spans="9:13" ht="15.05">
      <c r="I24" s="2202" t="s">
        <v>950</v>
      </c>
      <c r="J24" s="2202"/>
      <c r="K24" s="2202"/>
      <c r="L24" s="2202"/>
      <c r="M24" s="2202"/>
    </row>
    <row r="25" spans="9:13">
      <c r="I25" s="1891"/>
      <c r="J25" s="1891"/>
      <c r="K25" s="1891"/>
      <c r="L25" s="1891"/>
      <c r="M25" s="1891"/>
    </row>
  </sheetData>
  <mergeCells count="19">
    <mergeCell ref="I25:M25"/>
    <mergeCell ref="K19:M19"/>
    <mergeCell ref="I20:M20"/>
    <mergeCell ref="I21:M21"/>
    <mergeCell ref="I22:M22"/>
    <mergeCell ref="I23:M23"/>
    <mergeCell ref="I24:M24"/>
    <mergeCell ref="I17:M17"/>
    <mergeCell ref="D1:M1"/>
    <mergeCell ref="D2:M2"/>
    <mergeCell ref="D4:M4"/>
    <mergeCell ref="I5:M5"/>
    <mergeCell ref="I6:M6"/>
    <mergeCell ref="I7:M7"/>
    <mergeCell ref="K9:M9"/>
    <mergeCell ref="I11:M11"/>
    <mergeCell ref="I12:M12"/>
    <mergeCell ref="K14:M14"/>
    <mergeCell ref="I16:M16"/>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T45"/>
  <sheetViews>
    <sheetView showGridLines="0" workbookViewId="0"/>
  </sheetViews>
  <sheetFormatPr defaultRowHeight="12.45"/>
  <cols>
    <col min="1" max="1" width="12.875" customWidth="1"/>
    <col min="2" max="3" width="15.125" customWidth="1"/>
    <col min="9" max="9" width="19.875" customWidth="1"/>
    <col min="10" max="10" width="22.25" customWidth="1"/>
    <col min="11" max="11" width="16.25" customWidth="1"/>
    <col min="12" max="12" width="17" customWidth="1"/>
    <col min="14" max="20" width="9.125" style="156"/>
  </cols>
  <sheetData>
    <row r="1" spans="1:13" ht="26.2">
      <c r="A1" s="135" t="s">
        <v>72</v>
      </c>
      <c r="B1" s="134" t="s">
        <v>73</v>
      </c>
      <c r="C1" s="133" t="s">
        <v>74</v>
      </c>
      <c r="D1" s="2238" t="s">
        <v>1014</v>
      </c>
      <c r="E1" s="2238"/>
      <c r="F1" s="2238"/>
      <c r="G1" s="2238"/>
      <c r="H1" s="2238"/>
      <c r="I1" s="2238"/>
      <c r="J1" s="2238"/>
      <c r="K1" s="2238"/>
      <c r="L1" s="2238"/>
      <c r="M1" s="2238"/>
    </row>
    <row r="2" spans="1:13" ht="18.350000000000001">
      <c r="A2" s="132">
        <v>44000</v>
      </c>
      <c r="B2" s="131">
        <v>61000</v>
      </c>
      <c r="C2" s="130">
        <v>115000</v>
      </c>
      <c r="D2" s="156"/>
      <c r="G2" s="2239" t="s">
        <v>1015</v>
      </c>
      <c r="H2" s="1724"/>
      <c r="I2" s="1724"/>
      <c r="J2" s="1724"/>
    </row>
    <row r="3" spans="1:13" ht="15.05">
      <c r="A3" s="34"/>
      <c r="B3" s="118"/>
      <c r="C3" s="35"/>
      <c r="D3" s="156"/>
      <c r="E3" s="156"/>
      <c r="F3" s="156"/>
      <c r="G3" s="2240" t="s">
        <v>1016</v>
      </c>
      <c r="H3" s="2240"/>
      <c r="I3" s="2240"/>
      <c r="J3" s="2240"/>
      <c r="K3" s="156"/>
      <c r="L3" s="156"/>
      <c r="M3" s="156"/>
    </row>
    <row r="4" spans="1:13" ht="26.2">
      <c r="A4" s="34"/>
      <c r="B4" s="118"/>
      <c r="C4" s="35"/>
      <c r="D4" s="2109" t="s">
        <v>697</v>
      </c>
      <c r="E4" s="2109"/>
      <c r="F4" s="2109"/>
      <c r="G4" s="2109"/>
      <c r="H4" s="2109"/>
      <c r="I4" s="2109"/>
      <c r="J4" s="227">
        <v>104000</v>
      </c>
      <c r="K4" s="228"/>
      <c r="L4" s="228"/>
      <c r="M4" s="228"/>
    </row>
    <row r="5" spans="1:13">
      <c r="A5" s="34"/>
      <c r="B5" s="118"/>
      <c r="C5" s="35"/>
      <c r="D5" s="75"/>
      <c r="E5" s="75"/>
      <c r="F5" s="75"/>
      <c r="G5" s="75"/>
      <c r="H5" s="156"/>
    </row>
    <row r="6" spans="1:13" ht="15.05">
      <c r="M6" s="229"/>
    </row>
    <row r="7" spans="1:13" ht="15.05">
      <c r="M7" s="229"/>
    </row>
    <row r="8" spans="1:13" ht="15.05">
      <c r="M8" s="229"/>
    </row>
    <row r="10" spans="1:13">
      <c r="I10" s="156"/>
      <c r="J10" s="156"/>
      <c r="K10" s="156"/>
      <c r="L10" s="156"/>
      <c r="M10" s="156"/>
    </row>
    <row r="11" spans="1:13" ht="20.3">
      <c r="I11" s="2241" t="s">
        <v>1017</v>
      </c>
      <c r="J11" s="2241"/>
      <c r="K11" s="2241"/>
      <c r="L11" s="2241"/>
      <c r="M11" s="2241"/>
    </row>
    <row r="12" spans="1:13" ht="18.350000000000001">
      <c r="I12" s="247"/>
      <c r="J12" s="231" t="s">
        <v>145</v>
      </c>
      <c r="K12" s="232" t="s">
        <v>785</v>
      </c>
      <c r="L12" s="233" t="s">
        <v>786</v>
      </c>
      <c r="M12" s="248"/>
    </row>
    <row r="13" spans="1:13" ht="18.350000000000001">
      <c r="I13" s="235" t="s">
        <v>1018</v>
      </c>
      <c r="J13" s="236">
        <f>J4</f>
        <v>104000</v>
      </c>
      <c r="K13" s="236">
        <v>104000</v>
      </c>
      <c r="L13" s="237">
        <v>104000</v>
      </c>
      <c r="M13" s="248"/>
    </row>
    <row r="14" spans="1:13" ht="17.7">
      <c r="I14" s="238" t="s">
        <v>1019</v>
      </c>
      <c r="J14" s="239">
        <v>90558.92</v>
      </c>
      <c r="K14" s="240">
        <v>69370.820000000007</v>
      </c>
      <c r="L14" s="241">
        <v>95731.25</v>
      </c>
      <c r="M14" s="248"/>
    </row>
    <row r="15" spans="1:13" ht="18.350000000000001">
      <c r="I15" s="242" t="s">
        <v>1020</v>
      </c>
      <c r="J15" s="243">
        <f>J13-J14</f>
        <v>13441.080000000002</v>
      </c>
      <c r="K15" s="244">
        <f>K13-K14</f>
        <v>34629.179999999993</v>
      </c>
      <c r="L15" s="244">
        <f>L13-L14</f>
        <v>8268.75</v>
      </c>
      <c r="M15" s="234"/>
    </row>
    <row r="16" spans="1:13">
      <c r="I16" s="156"/>
      <c r="J16" s="156"/>
      <c r="K16" s="156"/>
      <c r="L16" s="156"/>
      <c r="M16" s="156"/>
    </row>
    <row r="17" spans="9:16" ht="20.3">
      <c r="I17" s="2192"/>
      <c r="J17" s="2192"/>
      <c r="K17" s="2192"/>
      <c r="L17" s="2192"/>
      <c r="M17" s="2192"/>
    </row>
    <row r="18" spans="9:16" ht="20.3">
      <c r="I18" s="2241" t="s">
        <v>1021</v>
      </c>
      <c r="J18" s="2241"/>
      <c r="K18" s="2241"/>
      <c r="L18" s="2241"/>
      <c r="M18" s="2241"/>
    </row>
    <row r="19" spans="9:16" ht="18.350000000000001">
      <c r="I19" s="249"/>
      <c r="J19" s="231" t="s">
        <v>145</v>
      </c>
      <c r="K19" s="232" t="s">
        <v>785</v>
      </c>
      <c r="L19" s="233" t="s">
        <v>786</v>
      </c>
      <c r="M19" s="250"/>
    </row>
    <row r="20" spans="9:16" ht="20.3">
      <c r="I20" s="235" t="s">
        <v>1018</v>
      </c>
      <c r="J20" s="236">
        <v>104000</v>
      </c>
      <c r="K20" s="236">
        <v>104000</v>
      </c>
      <c r="L20" s="237">
        <v>104000</v>
      </c>
      <c r="M20" s="251"/>
    </row>
    <row r="21" spans="9:16" ht="20.3">
      <c r="I21" s="238" t="s">
        <v>1019</v>
      </c>
      <c r="J21" s="239">
        <v>110697.11</v>
      </c>
      <c r="K21" s="240">
        <v>83943.93</v>
      </c>
      <c r="L21" s="241">
        <v>110466.84</v>
      </c>
      <c r="M21" s="252"/>
    </row>
    <row r="22" spans="9:16" ht="18.350000000000001">
      <c r="I22" s="242" t="s">
        <v>1020</v>
      </c>
      <c r="J22" s="253">
        <f>J20-J21</f>
        <v>-6697.1100000000006</v>
      </c>
      <c r="K22" s="244">
        <f>K20-K21</f>
        <v>20056.070000000007</v>
      </c>
      <c r="L22" s="254">
        <f>L20-L21</f>
        <v>-6466.8399999999965</v>
      </c>
      <c r="M22" s="255"/>
    </row>
    <row r="23" spans="9:16" ht="20.3">
      <c r="I23" s="2192"/>
      <c r="J23" s="2192"/>
      <c r="K23" s="2192"/>
      <c r="L23" s="2192"/>
      <c r="M23" s="2192"/>
    </row>
    <row r="24" spans="9:16" ht="20.3">
      <c r="I24" s="2241" t="s">
        <v>1022</v>
      </c>
      <c r="J24" s="2241"/>
      <c r="K24" s="2241"/>
      <c r="L24" s="2241"/>
      <c r="M24" s="2241"/>
      <c r="N24" s="230"/>
      <c r="O24" s="230"/>
      <c r="P24" s="230"/>
    </row>
    <row r="25" spans="9:16" ht="20.3">
      <c r="I25" s="2242" t="s">
        <v>1023</v>
      </c>
      <c r="J25" s="2242"/>
      <c r="K25" s="2242"/>
      <c r="L25" s="2242"/>
      <c r="M25" s="2242"/>
    </row>
    <row r="26" spans="9:16" ht="20.3">
      <c r="I26" s="1582" t="s">
        <v>1024</v>
      </c>
      <c r="J26" s="1582"/>
      <c r="K26" s="1582"/>
      <c r="L26" s="1582"/>
      <c r="M26" s="1582"/>
      <c r="N26" s="256"/>
      <c r="O26" s="256"/>
      <c r="P26" s="256"/>
    </row>
    <row r="27" spans="9:16" ht="20.3">
      <c r="I27" s="1582" t="s">
        <v>1024</v>
      </c>
      <c r="J27" s="1582"/>
      <c r="K27" s="1582"/>
      <c r="L27" s="1582"/>
      <c r="M27" s="1582"/>
      <c r="N27" s="257"/>
      <c r="O27" s="257"/>
      <c r="P27" s="257"/>
    </row>
    <row r="28" spans="9:16" ht="20.3">
      <c r="I28" s="1582"/>
      <c r="J28" s="1582"/>
      <c r="K28" s="1582"/>
      <c r="L28" s="1582"/>
      <c r="M28" s="1582"/>
    </row>
    <row r="29" spans="9:16" ht="20.3">
      <c r="I29" s="2242" t="s">
        <v>1025</v>
      </c>
      <c r="J29" s="2242"/>
      <c r="K29" s="2242"/>
      <c r="L29" s="2242"/>
      <c r="M29" s="2242"/>
    </row>
    <row r="30" spans="9:16" ht="20.3">
      <c r="I30" s="1582" t="s">
        <v>1026</v>
      </c>
      <c r="J30" s="1582"/>
      <c r="K30" s="1582"/>
      <c r="L30" s="1582"/>
      <c r="M30" s="1582"/>
    </row>
    <row r="31" spans="9:16" ht="20.3">
      <c r="I31" s="1582"/>
      <c r="J31" s="1582"/>
      <c r="K31" s="1582"/>
      <c r="L31" s="1582"/>
      <c r="M31" s="1582"/>
    </row>
    <row r="32" spans="9:16" ht="20.3">
      <c r="I32" s="2245" t="s">
        <v>1027</v>
      </c>
      <c r="J32" s="2245"/>
      <c r="K32" s="2245"/>
      <c r="L32" s="2245"/>
      <c r="M32" s="2245"/>
    </row>
    <row r="33" spans="1:13" ht="20.3">
      <c r="I33" s="2243" t="s">
        <v>1028</v>
      </c>
      <c r="J33" s="2243"/>
      <c r="K33" s="2243"/>
      <c r="L33" s="2243"/>
      <c r="M33" s="2243"/>
    </row>
    <row r="34" spans="1:13" ht="20.3">
      <c r="I34" s="2243" t="s">
        <v>1029</v>
      </c>
      <c r="J34" s="2243"/>
      <c r="K34" s="2243"/>
      <c r="L34" s="2243"/>
      <c r="M34" s="2243"/>
    </row>
    <row r="35" spans="1:13" ht="20.3">
      <c r="I35" s="2243" t="s">
        <v>1030</v>
      </c>
      <c r="J35" s="2243"/>
      <c r="K35" s="2243"/>
      <c r="L35" s="2243"/>
      <c r="M35" s="2243"/>
    </row>
    <row r="36" spans="1:13">
      <c r="A36" s="226"/>
      <c r="B36" s="226"/>
      <c r="C36" s="226"/>
      <c r="D36" s="226"/>
      <c r="E36" s="226"/>
      <c r="F36" s="226"/>
      <c r="G36" s="226"/>
      <c r="H36" s="226"/>
      <c r="I36" s="2244"/>
      <c r="J36" s="2244"/>
      <c r="K36" s="2244"/>
      <c r="L36" s="2244"/>
      <c r="M36" s="2244"/>
    </row>
    <row r="45" spans="1:13">
      <c r="A45" s="245"/>
    </row>
  </sheetData>
  <mergeCells count="21">
    <mergeCell ref="I34:M34"/>
    <mergeCell ref="I35:M35"/>
    <mergeCell ref="I36:M36"/>
    <mergeCell ref="I28:M28"/>
    <mergeCell ref="I29:M29"/>
    <mergeCell ref="I30:M30"/>
    <mergeCell ref="I31:M31"/>
    <mergeCell ref="I32:M32"/>
    <mergeCell ref="I33:M33"/>
    <mergeCell ref="I27:M27"/>
    <mergeCell ref="D1:M1"/>
    <mergeCell ref="G2:J2"/>
    <mergeCell ref="G3:J3"/>
    <mergeCell ref="D4:I4"/>
    <mergeCell ref="I11:M11"/>
    <mergeCell ref="I17:M17"/>
    <mergeCell ref="I18:M18"/>
    <mergeCell ref="I23:M23"/>
    <mergeCell ref="I24:M24"/>
    <mergeCell ref="I25:M25"/>
    <mergeCell ref="I26:M26"/>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4" tint="-0.499954222235786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916</v>
      </c>
      <c r="E1" s="2196"/>
      <c r="F1" s="2196"/>
      <c r="G1" s="2196"/>
      <c r="H1" s="2196"/>
      <c r="I1" s="2196"/>
      <c r="J1" s="2196"/>
      <c r="K1" s="2196"/>
      <c r="L1" s="2196"/>
      <c r="M1" s="2196"/>
    </row>
    <row r="2" spans="1:13" ht="18.350000000000001">
      <c r="A2" s="296">
        <v>39000</v>
      </c>
      <c r="B2" s="298">
        <v>525500</v>
      </c>
      <c r="C2" s="297">
        <v>214920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f>'AS with changes'!O3</f>
        <v>75000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6" spans="1:13" ht="18.350000000000001">
      <c r="I6" s="2169"/>
      <c r="J6" s="1723"/>
      <c r="K6" s="1723"/>
      <c r="L6" s="1723"/>
      <c r="M6" s="1723"/>
    </row>
    <row r="7" spans="1:13" ht="18.350000000000001">
      <c r="I7" s="2246" t="s">
        <v>1031</v>
      </c>
      <c r="J7" s="2246"/>
      <c r="K7" s="2246"/>
      <c r="L7" s="2246"/>
      <c r="M7" s="2246"/>
    </row>
    <row r="8" spans="1:13" ht="20.3">
      <c r="I8" s="350" t="s">
        <v>918</v>
      </c>
      <c r="J8" s="231" t="s">
        <v>145</v>
      </c>
      <c r="K8" s="232" t="s">
        <v>785</v>
      </c>
      <c r="L8" s="348" t="s">
        <v>786</v>
      </c>
      <c r="M8" s="319"/>
    </row>
    <row r="9" spans="1:13" ht="18.350000000000001">
      <c r="I9" s="320" t="s">
        <v>800</v>
      </c>
      <c r="J9" s="236">
        <f>J3</f>
        <v>75000</v>
      </c>
      <c r="K9" s="236">
        <f>J3</f>
        <v>75000</v>
      </c>
      <c r="L9" s="236">
        <f>J3</f>
        <v>75000</v>
      </c>
      <c r="M9" s="157"/>
    </row>
    <row r="10" spans="1:13" ht="17.7">
      <c r="I10" s="238" t="s">
        <v>84</v>
      </c>
      <c r="J10" s="239">
        <v>73254.63</v>
      </c>
      <c r="K10" s="240">
        <v>62016.32</v>
      </c>
      <c r="L10" s="241">
        <v>64091.41</v>
      </c>
      <c r="M10" s="157"/>
    </row>
    <row r="11" spans="1:13" ht="18.350000000000001">
      <c r="I11" s="265" t="s">
        <v>802</v>
      </c>
      <c r="J11" s="243">
        <f>J9-J10</f>
        <v>1745.3699999999953</v>
      </c>
      <c r="K11" s="261">
        <f>K9-K10</f>
        <v>12983.68</v>
      </c>
      <c r="L11" s="261">
        <f>L9-L10</f>
        <v>10908.589999999997</v>
      </c>
      <c r="M11" s="286"/>
    </row>
    <row r="12" spans="1:13" ht="15.75">
      <c r="I12" s="2104"/>
      <c r="J12" s="2104"/>
      <c r="K12" s="2104"/>
      <c r="L12" s="2104"/>
      <c r="M12" s="2104"/>
    </row>
    <row r="13" spans="1:13" ht="18.350000000000001">
      <c r="I13" s="2162" t="s">
        <v>920</v>
      </c>
      <c r="J13" s="2162"/>
      <c r="K13" s="2162"/>
      <c r="L13" s="2162"/>
      <c r="M13" s="2162"/>
    </row>
    <row r="14" spans="1:13" ht="20.3">
      <c r="I14" s="318"/>
      <c r="J14" s="317" t="s">
        <v>145</v>
      </c>
      <c r="K14" s="232" t="s">
        <v>785</v>
      </c>
      <c r="L14" s="348" t="s">
        <v>786</v>
      </c>
      <c r="M14" s="319"/>
    </row>
    <row r="15" spans="1:13" ht="18.350000000000001">
      <c r="I15" s="315" t="s">
        <v>800</v>
      </c>
      <c r="J15" s="351">
        <v>84000</v>
      </c>
      <c r="K15" s="236">
        <f>J9</f>
        <v>75000</v>
      </c>
      <c r="L15" s="236">
        <f>J9</f>
        <v>75000</v>
      </c>
      <c r="M15" s="157"/>
    </row>
    <row r="16" spans="1:13" ht="17.7">
      <c r="I16" s="314" t="s">
        <v>84</v>
      </c>
      <c r="J16" s="316">
        <v>45140.63</v>
      </c>
      <c r="K16" s="240">
        <v>33902.32</v>
      </c>
      <c r="L16" s="241">
        <v>34580.36</v>
      </c>
      <c r="M16" s="354"/>
    </row>
    <row r="17" spans="9:14" ht="18.350000000000001">
      <c r="I17" s="265" t="s">
        <v>802</v>
      </c>
      <c r="J17" s="345">
        <f>J15-J16</f>
        <v>38859.370000000003</v>
      </c>
      <c r="K17" s="261">
        <f>K15-K16</f>
        <v>41097.68</v>
      </c>
      <c r="L17" s="261">
        <f>L15-L16</f>
        <v>40419.64</v>
      </c>
      <c r="M17" s="288"/>
    </row>
    <row r="18" spans="9:14" ht="14.4">
      <c r="I18" s="288"/>
      <c r="J18" s="288"/>
      <c r="K18" s="288"/>
      <c r="L18" s="288"/>
      <c r="M18" s="288"/>
    </row>
    <row r="19" spans="9:14" ht="15.75">
      <c r="I19" s="2201"/>
      <c r="J19" s="2201"/>
      <c r="K19" s="2201"/>
      <c r="L19" s="2201"/>
      <c r="M19" s="2201"/>
    </row>
    <row r="20" spans="9:14" ht="15.75">
      <c r="I20" s="2201"/>
      <c r="J20" s="2201"/>
      <c r="K20" s="2201"/>
      <c r="L20" s="2201"/>
      <c r="M20" s="2201"/>
    </row>
    <row r="21" spans="9:14" ht="20.3">
      <c r="I21" s="2194" t="s">
        <v>1032</v>
      </c>
      <c r="J21" s="2194"/>
      <c r="K21" s="2194"/>
      <c r="L21" s="2194"/>
      <c r="M21" s="2194"/>
    </row>
    <row r="22" spans="9:14" ht="15.75">
      <c r="I22" s="2201"/>
      <c r="J22" s="2201"/>
      <c r="K22" s="2201"/>
      <c r="L22" s="2201"/>
      <c r="M22" s="2201"/>
    </row>
    <row r="23" spans="9:14" ht="15.05">
      <c r="I23" s="2171" t="s">
        <v>1033</v>
      </c>
      <c r="J23" s="2171"/>
      <c r="K23" s="2171"/>
      <c r="L23" s="2171"/>
      <c r="M23" s="2171"/>
    </row>
    <row r="24" spans="9:14" ht="15.05">
      <c r="I24" s="1575" t="s">
        <v>1034</v>
      </c>
      <c r="J24" s="1575"/>
      <c r="K24" s="1575"/>
      <c r="L24" s="1575"/>
      <c r="M24" s="1575"/>
    </row>
    <row r="25" spans="9:14" ht="15.05">
      <c r="I25" s="2171" t="s">
        <v>1035</v>
      </c>
      <c r="J25" s="2171"/>
      <c r="K25" s="2171"/>
      <c r="L25" s="2171"/>
      <c r="M25" s="2171"/>
    </row>
    <row r="26" spans="9:14" ht="18.649999999999999" customHeight="1">
      <c r="I26" s="2171" t="s">
        <v>1036</v>
      </c>
      <c r="J26" s="2171"/>
      <c r="K26" s="2171"/>
      <c r="L26" s="2171"/>
      <c r="M26" s="2171"/>
    </row>
    <row r="27" spans="9:14" ht="15.05" customHeight="1">
      <c r="I27" s="2171" t="s">
        <v>1037</v>
      </c>
      <c r="J27" s="2171"/>
      <c r="K27" s="2171"/>
      <c r="L27" s="2171"/>
      <c r="M27" s="2171"/>
      <c r="N27" s="211"/>
    </row>
    <row r="28" spans="9:14" ht="13.6" customHeight="1"/>
    <row r="32" spans="9:14" ht="18.649999999999999" customHeight="1">
      <c r="I32" s="2171"/>
      <c r="J32" s="2171"/>
      <c r="K32" s="2171"/>
      <c r="L32" s="2171"/>
      <c r="M32" s="2171"/>
    </row>
    <row r="33" spans="9:13" ht="18.649999999999999" customHeight="1">
      <c r="I33" s="2171"/>
      <c r="J33" s="2171"/>
      <c r="K33" s="2171"/>
      <c r="L33" s="2171"/>
      <c r="M33" s="2171"/>
    </row>
    <row r="34" spans="9:13" ht="15.05">
      <c r="I34" s="2171"/>
      <c r="J34" s="2171"/>
      <c r="K34" s="2171"/>
      <c r="L34" s="2171"/>
      <c r="M34" s="2171"/>
    </row>
    <row r="35" spans="9:13" ht="18.350000000000001">
      <c r="I35" s="265"/>
      <c r="J35" s="236"/>
      <c r="K35" s="346"/>
      <c r="L35" s="347"/>
      <c r="M35" s="276"/>
    </row>
    <row r="36" spans="9:13" ht="15.05">
      <c r="I36" s="1575"/>
      <c r="J36" s="1575"/>
      <c r="K36" s="1575"/>
      <c r="L36" s="1575"/>
      <c r="M36" s="1575"/>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3">
    <mergeCell ref="I6:M6"/>
    <mergeCell ref="D1:M1"/>
    <mergeCell ref="D2:M2"/>
    <mergeCell ref="D3:I3"/>
    <mergeCell ref="I4:M4"/>
    <mergeCell ref="I5:M5"/>
    <mergeCell ref="I27:M27"/>
    <mergeCell ref="I7:M7"/>
    <mergeCell ref="I12:M12"/>
    <mergeCell ref="I13:M13"/>
    <mergeCell ref="I19:M19"/>
    <mergeCell ref="I20:M20"/>
    <mergeCell ref="I21:M21"/>
    <mergeCell ref="I22:M22"/>
    <mergeCell ref="I23:M23"/>
    <mergeCell ref="I24:M24"/>
    <mergeCell ref="I25:M25"/>
    <mergeCell ref="I26:M26"/>
    <mergeCell ref="I32:M32"/>
    <mergeCell ref="I33:M33"/>
    <mergeCell ref="I34:M34"/>
    <mergeCell ref="I36:M36"/>
    <mergeCell ref="I37:M37"/>
  </mergeCell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T57"/>
  <sheetViews>
    <sheetView showGridLines="0" workbookViewId="0"/>
  </sheetViews>
  <sheetFormatPr defaultColWidth="9.125" defaultRowHeight="12.45"/>
  <cols>
    <col min="1" max="1" width="16" customWidth="1"/>
    <col min="2" max="2" width="17.625" customWidth="1"/>
    <col min="3" max="3" width="19.75" customWidth="1"/>
    <col min="10" max="10" width="22" customWidth="1"/>
    <col min="11" max="11" width="16.25" customWidth="1"/>
    <col min="12" max="12" width="15.75" customWidth="1"/>
    <col min="14" max="20" width="9.125" style="75"/>
  </cols>
  <sheetData>
    <row r="1" spans="1:13" ht="24.25">
      <c r="A1" s="135" t="s">
        <v>72</v>
      </c>
      <c r="B1" s="134" t="s">
        <v>73</v>
      </c>
      <c r="C1" s="133" t="s">
        <v>74</v>
      </c>
      <c r="D1" s="2196" t="s">
        <v>1038</v>
      </c>
      <c r="E1" s="2196"/>
      <c r="F1" s="2196"/>
      <c r="G1" s="2196"/>
      <c r="H1" s="2196"/>
      <c r="I1" s="2196"/>
      <c r="J1" s="2196"/>
      <c r="K1" s="2196"/>
      <c r="L1" s="2196"/>
      <c r="M1" s="2196"/>
    </row>
    <row r="2" spans="1:13" ht="18.350000000000001">
      <c r="A2" s="327">
        <v>39000</v>
      </c>
      <c r="B2" s="298" t="e">
        <f>#REF!</f>
        <v>#REF!</v>
      </c>
      <c r="C2" s="325">
        <v>740420</v>
      </c>
      <c r="D2" s="1477"/>
      <c r="E2" s="1477"/>
      <c r="F2" s="1477"/>
      <c r="G2" s="1477"/>
      <c r="H2" s="1477"/>
      <c r="I2" s="1477"/>
      <c r="J2" s="1477"/>
      <c r="K2" s="1477"/>
      <c r="L2" s="1477"/>
      <c r="M2" s="1477"/>
    </row>
    <row r="3" spans="1:13" ht="26.2">
      <c r="A3" s="326"/>
      <c r="B3" s="118"/>
      <c r="C3" s="35"/>
      <c r="D3" s="2109" t="s">
        <v>697</v>
      </c>
      <c r="E3" s="2109"/>
      <c r="F3" s="2109"/>
      <c r="G3" s="2109"/>
      <c r="H3" s="2109"/>
      <c r="I3" s="2109"/>
      <c r="J3" s="227" t="e">
        <f>#REF!</f>
        <v>#REF!</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6" spans="1:13">
      <c r="I6" s="258"/>
      <c r="J6" s="328"/>
      <c r="K6" s="328"/>
      <c r="L6" s="328"/>
      <c r="M6" s="328"/>
    </row>
    <row r="7" spans="1:13" ht="20.3">
      <c r="I7" s="2192"/>
      <c r="J7" s="2192"/>
      <c r="K7" s="2192"/>
      <c r="L7" s="2192"/>
      <c r="M7" s="2192"/>
    </row>
    <row r="8" spans="1:13" ht="18.350000000000001">
      <c r="I8" s="264"/>
      <c r="J8" s="231" t="s">
        <v>145</v>
      </c>
      <c r="K8" s="232" t="s">
        <v>785</v>
      </c>
      <c r="L8" s="233" t="s">
        <v>786</v>
      </c>
      <c r="M8" s="287"/>
    </row>
    <row r="9" spans="1:13" ht="18.350000000000001">
      <c r="I9" s="235" t="s">
        <v>1039</v>
      </c>
      <c r="J9" s="236" t="e">
        <f>J3</f>
        <v>#REF!</v>
      </c>
      <c r="K9" s="236" t="e">
        <f>J3</f>
        <v>#REF!</v>
      </c>
      <c r="L9" s="236" t="e">
        <f>J3</f>
        <v>#REF!</v>
      </c>
      <c r="M9" s="263"/>
    </row>
    <row r="10" spans="1:13" ht="17.7">
      <c r="I10" s="276"/>
      <c r="J10" s="239">
        <v>52686.71</v>
      </c>
      <c r="K10" s="240">
        <v>43194.46</v>
      </c>
      <c r="L10" s="241">
        <v>45838.3</v>
      </c>
      <c r="M10" s="262"/>
    </row>
    <row r="11" spans="1:13" ht="18.350000000000001">
      <c r="I11" s="265" t="s">
        <v>802</v>
      </c>
      <c r="J11" s="243" t="e">
        <f>J9-J10</f>
        <v>#REF!</v>
      </c>
      <c r="K11" s="261" t="e">
        <f>K9-K10</f>
        <v>#REF!</v>
      </c>
      <c r="L11" s="261" t="e">
        <f>L9-L10</f>
        <v>#REF!</v>
      </c>
      <c r="M11" s="286"/>
    </row>
    <row r="12" spans="1:13" ht="15.75">
      <c r="I12" s="259" t="s">
        <v>995</v>
      </c>
      <c r="J12" s="259"/>
      <c r="K12" s="259"/>
      <c r="L12" s="259"/>
      <c r="M12" s="259"/>
    </row>
    <row r="13" spans="1:13">
      <c r="I13" s="264"/>
      <c r="J13" s="266"/>
      <c r="K13" s="2249"/>
      <c r="L13" s="2249"/>
      <c r="M13" s="2249"/>
    </row>
    <row r="14" spans="1:13" ht="15.75">
      <c r="I14" s="286"/>
      <c r="J14" s="260"/>
      <c r="K14" s="267"/>
      <c r="L14" s="71"/>
      <c r="M14" s="262"/>
    </row>
    <row r="15" spans="1:13" ht="15.75">
      <c r="I15" s="286"/>
      <c r="J15" s="260"/>
      <c r="K15" s="268"/>
      <c r="L15" s="268"/>
      <c r="M15" s="262"/>
    </row>
    <row r="16" spans="1:13" ht="14.4">
      <c r="I16" s="2022"/>
      <c r="J16" s="2022"/>
      <c r="K16" s="2022"/>
      <c r="L16" s="2022"/>
      <c r="M16" s="2022"/>
    </row>
    <row r="17" spans="9:14" ht="14.4">
      <c r="I17" s="2022"/>
      <c r="J17" s="2022"/>
      <c r="K17" s="2022"/>
      <c r="L17" s="2022"/>
      <c r="M17" s="2022"/>
    </row>
    <row r="18" spans="9:14" ht="14.4">
      <c r="I18" s="2022"/>
      <c r="J18" s="2022"/>
      <c r="K18" s="2022"/>
      <c r="L18" s="2022"/>
      <c r="M18" s="2022"/>
    </row>
    <row r="19" spans="9:14" ht="18.350000000000001">
      <c r="I19" s="2169"/>
      <c r="J19" s="2149"/>
      <c r="K19" s="2149"/>
      <c r="L19" s="2149"/>
      <c r="M19" s="2149"/>
    </row>
    <row r="20" spans="9:14">
      <c r="I20" s="2250"/>
      <c r="J20" s="2250"/>
      <c r="K20" s="2250"/>
      <c r="L20" s="2250"/>
      <c r="M20" s="2250"/>
    </row>
    <row r="21" spans="9:14" ht="18.350000000000001">
      <c r="I21" s="2169"/>
      <c r="J21" s="2169"/>
      <c r="K21" s="2169"/>
      <c r="L21" s="2169"/>
      <c r="M21" s="2169"/>
    </row>
    <row r="22" spans="9:14" ht="15.05">
      <c r="I22" s="1619"/>
      <c r="J22" s="1619"/>
      <c r="K22" s="1619"/>
      <c r="L22" s="1619"/>
      <c r="M22" s="1619"/>
    </row>
    <row r="23" spans="9:14" ht="13.1">
      <c r="I23" s="270"/>
      <c r="J23" s="271"/>
      <c r="K23" s="1557"/>
      <c r="L23" s="1557"/>
      <c r="M23" s="1557"/>
    </row>
    <row r="24" spans="9:14" ht="15.75">
      <c r="I24" s="290"/>
      <c r="J24" s="269"/>
      <c r="K24" s="267"/>
      <c r="L24" s="71"/>
      <c r="M24" s="272"/>
    </row>
    <row r="25" spans="9:14" ht="15.75">
      <c r="I25" s="290"/>
      <c r="J25" s="269"/>
      <c r="K25" s="273"/>
      <c r="L25" s="273"/>
      <c r="M25" s="274"/>
    </row>
    <row r="26" spans="9:14" ht="15.05">
      <c r="I26" s="1831"/>
      <c r="J26" s="1831"/>
      <c r="K26" s="1831"/>
      <c r="L26" s="1831"/>
      <c r="M26" s="1831"/>
    </row>
    <row r="27" spans="9:14" ht="15.05">
      <c r="I27" s="1619"/>
      <c r="J27" s="1619"/>
      <c r="K27" s="1619"/>
      <c r="L27" s="1619"/>
      <c r="M27" s="1619"/>
      <c r="N27" s="184"/>
    </row>
    <row r="28" spans="9:14" ht="13.1">
      <c r="I28" s="270"/>
      <c r="J28" s="271"/>
      <c r="K28" s="1557"/>
      <c r="L28" s="1557"/>
      <c r="M28" s="1557"/>
    </row>
    <row r="29" spans="9:14" ht="15.75">
      <c r="I29" s="290"/>
      <c r="J29" s="269"/>
      <c r="K29" s="267"/>
      <c r="L29" s="71"/>
      <c r="M29" s="283"/>
    </row>
    <row r="30" spans="9:14" ht="15.75">
      <c r="I30" s="290"/>
      <c r="J30" s="269"/>
      <c r="K30" s="273"/>
      <c r="L30" s="273"/>
      <c r="M30" s="283"/>
    </row>
    <row r="31" spans="9:14" ht="15.05">
      <c r="I31" s="2171"/>
      <c r="J31" s="2171"/>
      <c r="K31" s="2171"/>
      <c r="L31" s="2171"/>
      <c r="M31" s="2171"/>
    </row>
    <row r="32" spans="9:14" ht="15.05">
      <c r="I32" s="1575"/>
      <c r="J32" s="1575"/>
      <c r="K32" s="1575"/>
      <c r="L32" s="1575"/>
      <c r="M32" s="1575"/>
    </row>
    <row r="33" spans="9:13" ht="15.05">
      <c r="I33" s="230"/>
      <c r="J33" s="230"/>
      <c r="K33" s="192"/>
      <c r="L33" s="230"/>
      <c r="M33" s="230"/>
    </row>
    <row r="34" spans="9:13" ht="15.05">
      <c r="I34" s="2171"/>
      <c r="J34" s="2171"/>
      <c r="K34" s="2171"/>
      <c r="L34" s="2171"/>
      <c r="M34" s="2171"/>
    </row>
    <row r="35" spans="9:13" ht="15.05">
      <c r="I35" s="1575"/>
      <c r="J35" s="1575"/>
      <c r="K35" s="1575"/>
      <c r="L35" s="1575"/>
      <c r="M35" s="1575"/>
    </row>
    <row r="36" spans="9:13" ht="15.05">
      <c r="I36" s="1575"/>
      <c r="J36" s="1575"/>
      <c r="K36" s="1575"/>
      <c r="L36" s="1575"/>
      <c r="M36" s="1575"/>
    </row>
    <row r="37" spans="9:13" ht="15.05">
      <c r="I37" s="1575"/>
      <c r="J37" s="1575"/>
      <c r="K37" s="1575"/>
      <c r="L37" s="1575"/>
      <c r="M37" s="1575"/>
    </row>
    <row r="54" spans="1:5" ht="15.05">
      <c r="A54" s="2247"/>
      <c r="B54" s="2247"/>
      <c r="C54" s="2247"/>
      <c r="D54" s="2247"/>
      <c r="E54" s="2247"/>
    </row>
    <row r="55" spans="1:5" ht="15.05">
      <c r="A55" s="2248"/>
      <c r="B55" s="2248"/>
      <c r="C55" s="2248"/>
      <c r="D55" s="2248"/>
      <c r="E55" s="2248"/>
    </row>
    <row r="56" spans="1:5" ht="15.05">
      <c r="A56" s="2248"/>
      <c r="B56" s="2248"/>
      <c r="C56" s="2248"/>
      <c r="D56" s="2248"/>
      <c r="E56" s="2248"/>
    </row>
    <row r="57" spans="1:5" ht="15.05">
      <c r="A57" s="2248"/>
      <c r="B57" s="2248"/>
      <c r="C57" s="2248"/>
      <c r="D57" s="2248"/>
      <c r="E57" s="2248"/>
    </row>
  </sheetData>
  <mergeCells count="28">
    <mergeCell ref="I7:M7"/>
    <mergeCell ref="D1:M1"/>
    <mergeCell ref="D2:M2"/>
    <mergeCell ref="D3:I3"/>
    <mergeCell ref="I4:M4"/>
    <mergeCell ref="I5:M5"/>
    <mergeCell ref="K28:M28"/>
    <mergeCell ref="K13:M13"/>
    <mergeCell ref="I16:M16"/>
    <mergeCell ref="I17:M17"/>
    <mergeCell ref="I18:M18"/>
    <mergeCell ref="I19:M19"/>
    <mergeCell ref="I20:M20"/>
    <mergeCell ref="I21:M21"/>
    <mergeCell ref="I22:M22"/>
    <mergeCell ref="K23:M23"/>
    <mergeCell ref="I26:M26"/>
    <mergeCell ref="I27:M27"/>
    <mergeCell ref="A54:E54"/>
    <mergeCell ref="A55:E55"/>
    <mergeCell ref="A56:E56"/>
    <mergeCell ref="A57:E57"/>
    <mergeCell ref="I31:M31"/>
    <mergeCell ref="I32:M32"/>
    <mergeCell ref="I34:M34"/>
    <mergeCell ref="I35:M35"/>
    <mergeCell ref="I36:M36"/>
    <mergeCell ref="I37:M37"/>
  </mergeCell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4" tint="-0.499954222235786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916</v>
      </c>
      <c r="E1" s="2196"/>
      <c r="F1" s="2196"/>
      <c r="G1" s="2196"/>
      <c r="H1" s="2196"/>
      <c r="I1" s="2196"/>
      <c r="J1" s="2196"/>
      <c r="K1" s="2196"/>
      <c r="L1" s="2196"/>
      <c r="M1" s="2196"/>
    </row>
    <row r="2" spans="1:13" ht="18.350000000000001">
      <c r="A2" s="296">
        <v>39000</v>
      </c>
      <c r="B2" s="298">
        <v>525500</v>
      </c>
      <c r="C2" s="297">
        <v>214920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f>'AS with changes'!O3</f>
        <v>75000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6" spans="1:13" ht="18.350000000000001">
      <c r="I6" s="2169"/>
      <c r="J6" s="1723"/>
      <c r="K6" s="1723"/>
      <c r="L6" s="1723"/>
      <c r="M6" s="1723"/>
    </row>
    <row r="7" spans="1:13" ht="18.350000000000001">
      <c r="I7" s="2246" t="s">
        <v>1031</v>
      </c>
      <c r="J7" s="2246"/>
      <c r="K7" s="2246"/>
      <c r="L7" s="2246"/>
      <c r="M7" s="2246"/>
    </row>
    <row r="8" spans="1:13" ht="20.3">
      <c r="I8" s="350" t="s">
        <v>918</v>
      </c>
      <c r="J8" s="231" t="s">
        <v>145</v>
      </c>
      <c r="K8" s="232" t="s">
        <v>785</v>
      </c>
      <c r="L8" s="348" t="s">
        <v>786</v>
      </c>
      <c r="M8" s="319"/>
    </row>
    <row r="9" spans="1:13" ht="18.350000000000001">
      <c r="I9" s="320" t="s">
        <v>800</v>
      </c>
      <c r="J9" s="236">
        <f>J3</f>
        <v>75000</v>
      </c>
      <c r="K9" s="236">
        <f>J3</f>
        <v>75000</v>
      </c>
      <c r="L9" s="236">
        <f>J3</f>
        <v>75000</v>
      </c>
      <c r="M9" s="157"/>
    </row>
    <row r="10" spans="1:13" ht="17.7">
      <c r="I10" s="238" t="s">
        <v>84</v>
      </c>
      <c r="J10" s="239">
        <v>73254.63</v>
      </c>
      <c r="K10" s="240">
        <v>62016.32</v>
      </c>
      <c r="L10" s="241">
        <v>64091.41</v>
      </c>
      <c r="M10" s="157"/>
    </row>
    <row r="11" spans="1:13" ht="18.350000000000001">
      <c r="I11" s="265" t="s">
        <v>802</v>
      </c>
      <c r="J11" s="243">
        <f>J9-J10</f>
        <v>1745.3699999999953</v>
      </c>
      <c r="K11" s="261">
        <f>K9-K10</f>
        <v>12983.68</v>
      </c>
      <c r="L11" s="261">
        <f>L9-L10</f>
        <v>10908.589999999997</v>
      </c>
      <c r="M11" s="286"/>
    </row>
    <row r="12" spans="1:13" ht="15.75">
      <c r="I12" s="2104"/>
      <c r="J12" s="2104"/>
      <c r="K12" s="2104"/>
      <c r="L12" s="2104"/>
      <c r="M12" s="2104"/>
    </row>
    <row r="13" spans="1:13" ht="18.350000000000001">
      <c r="I13" s="2162" t="s">
        <v>920</v>
      </c>
      <c r="J13" s="2162"/>
      <c r="K13" s="2162"/>
      <c r="L13" s="2162"/>
      <c r="M13" s="2162"/>
    </row>
    <row r="14" spans="1:13" ht="20.3">
      <c r="I14" s="318"/>
      <c r="J14" s="317" t="s">
        <v>145</v>
      </c>
      <c r="K14" s="232" t="s">
        <v>785</v>
      </c>
      <c r="L14" s="348" t="s">
        <v>786</v>
      </c>
      <c r="M14" s="319"/>
    </row>
    <row r="15" spans="1:13" ht="18.350000000000001">
      <c r="I15" s="315" t="s">
        <v>800</v>
      </c>
      <c r="J15" s="351">
        <v>84000</v>
      </c>
      <c r="K15" s="236">
        <f>J9</f>
        <v>75000</v>
      </c>
      <c r="L15" s="236">
        <f>J9</f>
        <v>75000</v>
      </c>
      <c r="M15" s="157"/>
    </row>
    <row r="16" spans="1:13" ht="17.7">
      <c r="I16" s="314" t="s">
        <v>84</v>
      </c>
      <c r="J16" s="316">
        <v>45140.63</v>
      </c>
      <c r="K16" s="240">
        <v>33902.32</v>
      </c>
      <c r="L16" s="241">
        <v>34580.36</v>
      </c>
      <c r="M16" s="354"/>
    </row>
    <row r="17" spans="9:14" ht="18.350000000000001">
      <c r="I17" s="265" t="s">
        <v>802</v>
      </c>
      <c r="J17" s="345">
        <f>J15-J16</f>
        <v>38859.370000000003</v>
      </c>
      <c r="K17" s="261">
        <f>K15-K16</f>
        <v>41097.68</v>
      </c>
      <c r="L17" s="261">
        <f>L15-L16</f>
        <v>40419.64</v>
      </c>
      <c r="M17" s="288"/>
    </row>
    <row r="18" spans="9:14" ht="14.4">
      <c r="I18" s="288"/>
      <c r="J18" s="288"/>
      <c r="K18" s="288"/>
      <c r="L18" s="288"/>
      <c r="M18" s="288"/>
    </row>
    <row r="19" spans="9:14" ht="15.75">
      <c r="I19" s="2201"/>
      <c r="J19" s="2201"/>
      <c r="K19" s="2201"/>
      <c r="L19" s="2201"/>
      <c r="M19" s="2201"/>
    </row>
    <row r="20" spans="9:14" ht="15.75">
      <c r="I20" s="2201"/>
      <c r="J20" s="2201"/>
      <c r="K20" s="2201"/>
      <c r="L20" s="2201"/>
      <c r="M20" s="2201"/>
    </row>
    <row r="21" spans="9:14" ht="20.3">
      <c r="I21" s="2194" t="s">
        <v>1032</v>
      </c>
      <c r="J21" s="2194"/>
      <c r="K21" s="2194"/>
      <c r="L21" s="2194"/>
      <c r="M21" s="2194"/>
    </row>
    <row r="22" spans="9:14" ht="15.75">
      <c r="I22" s="2201"/>
      <c r="J22" s="2201"/>
      <c r="K22" s="2201"/>
      <c r="L22" s="2201"/>
      <c r="M22" s="2201"/>
    </row>
    <row r="23" spans="9:14" ht="15.05">
      <c r="I23" s="2171" t="s">
        <v>1033</v>
      </c>
      <c r="J23" s="2171"/>
      <c r="K23" s="2171"/>
      <c r="L23" s="2171"/>
      <c r="M23" s="2171"/>
    </row>
    <row r="24" spans="9:14" ht="15.05">
      <c r="I24" s="1575" t="s">
        <v>1034</v>
      </c>
      <c r="J24" s="1575"/>
      <c r="K24" s="1575"/>
      <c r="L24" s="1575"/>
      <c r="M24" s="1575"/>
    </row>
    <row r="25" spans="9:14" ht="15.05">
      <c r="I25" s="2171" t="s">
        <v>1035</v>
      </c>
      <c r="J25" s="2171"/>
      <c r="K25" s="2171"/>
      <c r="L25" s="2171"/>
      <c r="M25" s="2171"/>
    </row>
    <row r="26" spans="9:14" ht="18.649999999999999" customHeight="1">
      <c r="I26" s="2171" t="s">
        <v>1036</v>
      </c>
      <c r="J26" s="2171"/>
      <c r="K26" s="2171"/>
      <c r="L26" s="2171"/>
      <c r="M26" s="2171"/>
    </row>
    <row r="27" spans="9:14" ht="15.05" customHeight="1">
      <c r="I27" s="2171" t="s">
        <v>1037</v>
      </c>
      <c r="J27" s="2171"/>
      <c r="K27" s="2171"/>
      <c r="L27" s="2171"/>
      <c r="M27" s="2171"/>
      <c r="N27" s="211"/>
    </row>
    <row r="28" spans="9:14" ht="13.6" customHeight="1"/>
    <row r="32" spans="9:14" ht="18.649999999999999" customHeight="1">
      <c r="I32" s="2171"/>
      <c r="J32" s="2171"/>
      <c r="K32" s="2171"/>
      <c r="L32" s="2171"/>
      <c r="M32" s="2171"/>
    </row>
    <row r="33" spans="9:13" ht="18.649999999999999" customHeight="1">
      <c r="I33" s="2171"/>
      <c r="J33" s="2171"/>
      <c r="K33" s="2171"/>
      <c r="L33" s="2171"/>
      <c r="M33" s="2171"/>
    </row>
    <row r="34" spans="9:13" ht="15.05">
      <c r="I34" s="2171"/>
      <c r="J34" s="2171"/>
      <c r="K34" s="2171"/>
      <c r="L34" s="2171"/>
      <c r="M34" s="2171"/>
    </row>
    <row r="35" spans="9:13" ht="18.350000000000001">
      <c r="I35" s="265"/>
      <c r="J35" s="236"/>
      <c r="K35" s="346"/>
      <c r="L35" s="347"/>
      <c r="M35" s="276"/>
    </row>
    <row r="36" spans="9:13" ht="15.05">
      <c r="I36" s="1575"/>
      <c r="J36" s="1575"/>
      <c r="K36" s="1575"/>
      <c r="L36" s="1575"/>
      <c r="M36" s="1575"/>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3">
    <mergeCell ref="I6:M6"/>
    <mergeCell ref="D1:M1"/>
    <mergeCell ref="D2:M2"/>
    <mergeCell ref="D3:I3"/>
    <mergeCell ref="I4:M4"/>
    <mergeCell ref="I5:M5"/>
    <mergeCell ref="I27:M27"/>
    <mergeCell ref="I7:M7"/>
    <mergeCell ref="I12:M12"/>
    <mergeCell ref="I13:M13"/>
    <mergeCell ref="I19:M19"/>
    <mergeCell ref="I20:M20"/>
    <mergeCell ref="I21:M21"/>
    <mergeCell ref="I22:M22"/>
    <mergeCell ref="I23:M23"/>
    <mergeCell ref="I24:M24"/>
    <mergeCell ref="I25:M25"/>
    <mergeCell ref="I26:M26"/>
    <mergeCell ref="I32:M32"/>
    <mergeCell ref="I33:M33"/>
    <mergeCell ref="I34:M34"/>
    <mergeCell ref="I36:M36"/>
    <mergeCell ref="I37:M37"/>
  </mergeCell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tint="-0.499954222235786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916</v>
      </c>
      <c r="E1" s="2196"/>
      <c r="F1" s="2196"/>
      <c r="G1" s="2196"/>
      <c r="H1" s="2196"/>
      <c r="I1" s="2196"/>
      <c r="J1" s="2196"/>
      <c r="K1" s="2196"/>
      <c r="L1" s="2196"/>
      <c r="M1" s="2196"/>
    </row>
    <row r="2" spans="1:13" ht="18.350000000000001">
      <c r="A2" s="296">
        <v>39000</v>
      </c>
      <c r="B2" s="298">
        <v>578000</v>
      </c>
      <c r="C2" s="297">
        <v>162420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f>'AS with changes'!O3</f>
        <v>75000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6" spans="1:13" ht="18.350000000000001">
      <c r="I6" s="2199" t="s">
        <v>1040</v>
      </c>
      <c r="J6" s="2200"/>
      <c r="K6" s="2200"/>
      <c r="L6" s="2200"/>
      <c r="M6" s="2200"/>
    </row>
    <row r="7" spans="1:13" ht="18.350000000000001">
      <c r="I7" s="2251" t="s">
        <v>1041</v>
      </c>
      <c r="J7" s="2251"/>
      <c r="K7" s="2251"/>
      <c r="L7" s="2251"/>
      <c r="M7" s="2251"/>
    </row>
    <row r="8" spans="1:13" ht="20.3">
      <c r="I8" s="350" t="s">
        <v>1042</v>
      </c>
      <c r="J8" s="231" t="s">
        <v>145</v>
      </c>
      <c r="K8" s="232" t="s">
        <v>785</v>
      </c>
      <c r="L8" s="348" t="s">
        <v>786</v>
      </c>
      <c r="M8" s="319"/>
    </row>
    <row r="9" spans="1:13" ht="18.350000000000001">
      <c r="I9" s="320" t="s">
        <v>800</v>
      </c>
      <c r="J9" s="236">
        <f>J3</f>
        <v>75000</v>
      </c>
      <c r="K9" s="236">
        <f>J3</f>
        <v>75000</v>
      </c>
      <c r="L9" s="236">
        <f>J3</f>
        <v>75000</v>
      </c>
      <c r="M9" s="157"/>
    </row>
    <row r="10" spans="1:13" ht="17.7">
      <c r="I10" s="238" t="s">
        <v>84</v>
      </c>
      <c r="J10" s="321">
        <v>84007.71</v>
      </c>
      <c r="K10" s="240">
        <v>74515.460000000006</v>
      </c>
      <c r="L10" s="241">
        <v>77159.3</v>
      </c>
      <c r="M10" s="157"/>
    </row>
    <row r="11" spans="1:13" ht="18.350000000000001">
      <c r="I11" s="265" t="s">
        <v>802</v>
      </c>
      <c r="J11" s="253">
        <f>J9-J10</f>
        <v>-9007.7100000000064</v>
      </c>
      <c r="K11" s="261">
        <f>K9-K10</f>
        <v>484.5399999999936</v>
      </c>
      <c r="L11" s="261">
        <f>L9-L10</f>
        <v>-2159.3000000000029</v>
      </c>
      <c r="M11" s="286"/>
    </row>
    <row r="12" spans="1:13" ht="15.75">
      <c r="I12" s="2104"/>
      <c r="J12" s="2104"/>
      <c r="K12" s="2104"/>
      <c r="L12" s="2104"/>
      <c r="M12" s="2104"/>
    </row>
    <row r="13" spans="1:13" ht="18.350000000000001">
      <c r="I13" s="2199" t="s">
        <v>1043</v>
      </c>
      <c r="J13" s="2199"/>
      <c r="K13" s="2199"/>
      <c r="L13" s="2199"/>
      <c r="M13" s="2199"/>
    </row>
    <row r="14" spans="1:13" ht="20.3">
      <c r="I14" s="350" t="s">
        <v>1042</v>
      </c>
      <c r="J14" s="231" t="s">
        <v>145</v>
      </c>
      <c r="K14" s="232" t="s">
        <v>785</v>
      </c>
      <c r="L14" s="348" t="s">
        <v>786</v>
      </c>
      <c r="M14" s="319"/>
    </row>
    <row r="15" spans="1:13" ht="18.350000000000001">
      <c r="I15" s="320" t="s">
        <v>800</v>
      </c>
      <c r="J15" s="236">
        <f>J9</f>
        <v>75000</v>
      </c>
      <c r="K15" s="236">
        <f>J9</f>
        <v>75000</v>
      </c>
      <c r="L15" s="236">
        <f>J9</f>
        <v>75000</v>
      </c>
      <c r="M15" s="157"/>
    </row>
    <row r="16" spans="1:13" ht="17.7">
      <c r="I16" s="238" t="s">
        <v>84</v>
      </c>
      <c r="J16" s="239">
        <v>80077.94</v>
      </c>
      <c r="K16" s="240">
        <v>70585.69</v>
      </c>
      <c r="L16" s="241">
        <v>73229.13</v>
      </c>
      <c r="M16" s="354"/>
    </row>
    <row r="17" spans="9:14" ht="18.350000000000001">
      <c r="I17" s="265" t="s">
        <v>802</v>
      </c>
      <c r="J17" s="243">
        <f>J15-J16</f>
        <v>-5077.9400000000023</v>
      </c>
      <c r="K17" s="261">
        <f>K15-K16</f>
        <v>4414.3099999999977</v>
      </c>
      <c r="L17" s="261">
        <f>L15-L16</f>
        <v>1770.8699999999953</v>
      </c>
      <c r="M17" s="288"/>
    </row>
    <row r="18" spans="9:14" ht="14.4">
      <c r="I18" s="288"/>
      <c r="J18" s="288"/>
      <c r="K18" s="288"/>
      <c r="L18" s="288"/>
      <c r="M18" s="288"/>
    </row>
    <row r="19" spans="9:14" ht="18.350000000000001">
      <c r="I19" s="2162" t="s">
        <v>920</v>
      </c>
      <c r="J19" s="2162"/>
      <c r="K19" s="2162"/>
      <c r="L19" s="2162"/>
      <c r="M19" s="2162"/>
    </row>
    <row r="20" spans="9:14" ht="20.3">
      <c r="I20" s="355" t="s">
        <v>1042</v>
      </c>
      <c r="J20" s="231" t="s">
        <v>145</v>
      </c>
      <c r="K20" s="232" t="s">
        <v>785</v>
      </c>
      <c r="L20" s="233" t="s">
        <v>786</v>
      </c>
      <c r="M20" s="319"/>
    </row>
    <row r="21" spans="9:14" ht="20.3">
      <c r="I21" s="315" t="s">
        <v>800</v>
      </c>
      <c r="J21" s="236">
        <f>J15</f>
        <v>75000</v>
      </c>
      <c r="K21" s="236">
        <f>J15</f>
        <v>75000</v>
      </c>
      <c r="L21" s="236">
        <f>J15</f>
        <v>75000</v>
      </c>
      <c r="M21" s="319"/>
    </row>
    <row r="22" spans="9:14" ht="20.3">
      <c r="I22" s="314" t="s">
        <v>84</v>
      </c>
      <c r="J22" s="239">
        <v>52686.71</v>
      </c>
      <c r="K22" s="240">
        <v>43194.46</v>
      </c>
      <c r="L22" s="241">
        <v>45838.3</v>
      </c>
      <c r="M22" s="319"/>
    </row>
    <row r="23" spans="9:14" ht="18.350000000000001">
      <c r="I23" s="265" t="s">
        <v>802</v>
      </c>
      <c r="J23" s="243">
        <f>J21-J22</f>
        <v>22313.29</v>
      </c>
      <c r="K23" s="261">
        <f>K21-K22</f>
        <v>31805.54</v>
      </c>
      <c r="L23" s="261">
        <f>L21-L22</f>
        <v>29161.699999999997</v>
      </c>
      <c r="M23" s="284"/>
    </row>
    <row r="24" spans="9:14" ht="15.75">
      <c r="I24" s="2201"/>
      <c r="J24" s="2201"/>
      <c r="K24" s="2201"/>
      <c r="L24" s="2201"/>
      <c r="M24" s="2201"/>
    </row>
    <row r="26" spans="9:14" ht="18.649999999999999" customHeight="1">
      <c r="I26" s="2194" t="s">
        <v>1044</v>
      </c>
      <c r="J26" s="2194"/>
      <c r="K26" s="2194"/>
      <c r="L26" s="2194"/>
      <c r="M26" s="2194"/>
    </row>
    <row r="27" spans="9:14" ht="15.05" customHeight="1">
      <c r="I27" s="2171" t="s">
        <v>1045</v>
      </c>
      <c r="J27" s="2171"/>
      <c r="K27" s="2171"/>
      <c r="L27" s="2171"/>
      <c r="M27" s="2171"/>
      <c r="N27" s="211"/>
    </row>
    <row r="28" spans="9:14" ht="13.6" customHeight="1">
      <c r="I28" s="2171"/>
      <c r="J28" s="2171"/>
      <c r="K28" s="2171"/>
      <c r="L28" s="2171"/>
      <c r="M28" s="2171"/>
    </row>
    <row r="29" spans="9:14" ht="15.05">
      <c r="I29" s="2171"/>
      <c r="J29" s="2171"/>
      <c r="K29" s="2171"/>
      <c r="L29" s="2171"/>
      <c r="M29" s="2171"/>
    </row>
    <row r="30" spans="9:14" ht="20.3">
      <c r="I30" s="2194" t="s">
        <v>1046</v>
      </c>
      <c r="J30" s="2194"/>
      <c r="K30" s="2194"/>
      <c r="L30" s="2194"/>
      <c r="M30" s="2194"/>
    </row>
    <row r="31" spans="9:14" ht="15.05">
      <c r="I31" s="2171" t="s">
        <v>1047</v>
      </c>
      <c r="J31" s="2171"/>
      <c r="K31" s="2171"/>
      <c r="L31" s="2171"/>
      <c r="M31" s="2171"/>
    </row>
    <row r="32" spans="9:14" ht="18.649999999999999" customHeight="1">
      <c r="I32" s="2171" t="s">
        <v>1033</v>
      </c>
      <c r="J32" s="2171"/>
      <c r="K32" s="2171"/>
      <c r="L32" s="2171"/>
      <c r="M32" s="2171"/>
    </row>
    <row r="33" spans="9:13" ht="18.649999999999999" customHeight="1">
      <c r="I33" s="1575" t="s">
        <v>1034</v>
      </c>
      <c r="J33" s="1575"/>
      <c r="K33" s="1575"/>
      <c r="L33" s="1575"/>
      <c r="M33" s="1575"/>
    </row>
    <row r="34" spans="9:13" ht="15.05">
      <c r="I34" s="2171" t="s">
        <v>1048</v>
      </c>
      <c r="J34" s="2171"/>
      <c r="K34" s="2171"/>
      <c r="L34" s="2171"/>
      <c r="M34" s="2171"/>
    </row>
    <row r="35" spans="9:13" ht="15.05">
      <c r="I35" s="2171" t="s">
        <v>1049</v>
      </c>
      <c r="J35" s="2171"/>
      <c r="K35" s="2171"/>
      <c r="L35" s="2171"/>
      <c r="M35" s="2171"/>
    </row>
    <row r="36" spans="9:13" ht="15.05">
      <c r="I36" s="2171" t="s">
        <v>1037</v>
      </c>
      <c r="J36" s="2171"/>
      <c r="K36" s="2171"/>
      <c r="L36" s="2171"/>
      <c r="M36" s="2171"/>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3">
    <mergeCell ref="I6:M6"/>
    <mergeCell ref="D1:M1"/>
    <mergeCell ref="D2:M2"/>
    <mergeCell ref="D3:I3"/>
    <mergeCell ref="I4:M4"/>
    <mergeCell ref="I5:M5"/>
    <mergeCell ref="I32:M32"/>
    <mergeCell ref="I7:M7"/>
    <mergeCell ref="I12:M12"/>
    <mergeCell ref="I13:M13"/>
    <mergeCell ref="I19:M19"/>
    <mergeCell ref="I24:M24"/>
    <mergeCell ref="I26:M26"/>
    <mergeCell ref="I27:M27"/>
    <mergeCell ref="I28:M28"/>
    <mergeCell ref="I29:M29"/>
    <mergeCell ref="I30:M30"/>
    <mergeCell ref="I31:M31"/>
    <mergeCell ref="I33:M33"/>
    <mergeCell ref="I34:M34"/>
    <mergeCell ref="I35:M35"/>
    <mergeCell ref="I36:M36"/>
    <mergeCell ref="I37:M3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49995422223578601"/>
  </sheetPr>
  <dimension ref="A1:Q65"/>
  <sheetViews>
    <sheetView showGridLines="0" workbookViewId="0"/>
  </sheetViews>
  <sheetFormatPr defaultColWidth="9.125" defaultRowHeight="12.45"/>
  <cols>
    <col min="1" max="1" width="14" customWidth="1"/>
    <col min="2" max="2" width="14.25" style="89" customWidth="1"/>
    <col min="3" max="3" width="38.75" customWidth="1"/>
    <col min="4" max="4" width="14.25" customWidth="1"/>
    <col min="5" max="5" width="21.375" style="152" customWidth="1"/>
    <col min="6" max="6" width="7.125"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20.3">
      <c r="D1" s="308"/>
      <c r="E1" s="1608" t="s">
        <v>135</v>
      </c>
      <c r="F1" s="1608"/>
      <c r="G1" s="922">
        <f ca="1">TODAY()</f>
        <v>46198</v>
      </c>
      <c r="H1" s="308"/>
      <c r="I1" s="308"/>
      <c r="K1" s="1028" t="s">
        <v>136</v>
      </c>
      <c r="M1" s="192"/>
      <c r="O1" s="191"/>
    </row>
    <row r="2" spans="1:16" ht="15.05">
      <c r="B2" s="422"/>
      <c r="D2" s="307"/>
      <c r="E2" s="307"/>
      <c r="F2" s="307"/>
      <c r="G2" s="307"/>
      <c r="H2" s="307"/>
      <c r="I2" s="307"/>
      <c r="L2" s="192"/>
      <c r="M2" s="192"/>
    </row>
    <row r="3" spans="1:16" ht="20.3">
      <c r="E3" s="1609" t="s">
        <v>258</v>
      </c>
      <c r="F3" s="1609"/>
      <c r="G3" s="1609"/>
      <c r="H3" s="1609"/>
      <c r="I3" s="1609"/>
      <c r="J3" s="1609"/>
      <c r="K3" s="1609"/>
      <c r="L3" s="1043"/>
      <c r="M3" s="560"/>
      <c r="N3" s="996"/>
      <c r="O3" s="996"/>
    </row>
    <row r="4" spans="1:16" ht="17.7">
      <c r="E4" s="1654" t="s">
        <v>259</v>
      </c>
      <c r="F4" s="1654"/>
      <c r="G4" s="1654"/>
      <c r="H4" s="1654"/>
      <c r="I4" s="1654"/>
      <c r="J4" s="1654"/>
      <c r="K4" s="1654"/>
      <c r="L4" s="1044"/>
      <c r="M4" s="560"/>
      <c r="N4" s="608"/>
      <c r="O4" s="608"/>
      <c r="P4" s="306"/>
    </row>
    <row r="5" spans="1:16" ht="17.7">
      <c r="G5" s="1045"/>
      <c r="H5" s="1045"/>
      <c r="I5" s="1045"/>
      <c r="J5" s="1045"/>
      <c r="M5" s="475"/>
      <c r="N5" s="608"/>
      <c r="O5" s="608"/>
      <c r="P5" s="306"/>
    </row>
    <row r="6" spans="1:16" s="15" customFormat="1" ht="11.45" customHeight="1">
      <c r="A6" s="7" t="s">
        <v>138</v>
      </c>
      <c r="B6" s="8"/>
      <c r="C6" s="605"/>
      <c r="D6" s="9"/>
      <c r="E6" s="610" t="s">
        <v>139</v>
      </c>
      <c r="F6" s="11"/>
      <c r="G6" s="611" t="s">
        <v>140</v>
      </c>
      <c r="H6" s="11"/>
      <c r="I6" s="612" t="s">
        <v>141</v>
      </c>
      <c r="J6" s="13"/>
      <c r="K6" s="612" t="s">
        <v>142</v>
      </c>
      <c r="L6" s="48"/>
      <c r="M6" s="11" t="s">
        <v>143</v>
      </c>
      <c r="N6" s="11"/>
      <c r="O6" s="14" t="s">
        <v>144</v>
      </c>
    </row>
    <row r="7" spans="1:16" s="15" customFormat="1" ht="14.1" customHeight="1">
      <c r="A7" s="193"/>
      <c r="C7" s="196"/>
      <c r="E7" s="204"/>
      <c r="G7" s="353"/>
      <c r="I7" s="49"/>
      <c r="J7" s="49"/>
      <c r="K7" s="195"/>
      <c r="L7" s="50"/>
      <c r="M7" s="49"/>
      <c r="N7" s="49"/>
      <c r="O7" s="49"/>
    </row>
    <row r="8" spans="1:16" s="15" customFormat="1" ht="17.7">
      <c r="A8" s="893" t="s">
        <v>154</v>
      </c>
      <c r="C8" s="1029" t="s">
        <v>260</v>
      </c>
      <c r="E8" s="194"/>
      <c r="G8" s="18"/>
      <c r="I8" s="49"/>
      <c r="J8" s="49"/>
      <c r="K8" s="895">
        <v>279742.36</v>
      </c>
      <c r="L8" s="50"/>
      <c r="M8" s="49"/>
      <c r="N8" s="49"/>
      <c r="O8" s="49"/>
    </row>
    <row r="9" spans="1:16" s="15" customFormat="1" ht="17.7">
      <c r="A9" s="893" t="s">
        <v>154</v>
      </c>
      <c r="C9" s="1029" t="s">
        <v>260</v>
      </c>
      <c r="E9" s="194"/>
      <c r="G9" s="18"/>
      <c r="I9" s="49"/>
      <c r="J9" s="49"/>
      <c r="K9" s="895">
        <v>13874.62</v>
      </c>
      <c r="L9" s="50"/>
      <c r="M9" s="49"/>
      <c r="N9" s="49"/>
      <c r="O9" s="49"/>
    </row>
    <row r="10" spans="1:16" s="15" customFormat="1" ht="17.7">
      <c r="A10" s="893" t="s">
        <v>154</v>
      </c>
      <c r="C10" s="1029" t="s">
        <v>260</v>
      </c>
      <c r="E10" s="194"/>
      <c r="G10" s="18"/>
      <c r="I10" s="49"/>
      <c r="J10" s="49"/>
      <c r="K10" s="897">
        <v>28011.63</v>
      </c>
      <c r="L10" s="50"/>
      <c r="M10" s="49"/>
      <c r="N10" s="49"/>
      <c r="O10" s="49"/>
    </row>
    <row r="11" spans="1:16" s="15" customFormat="1" ht="17.7">
      <c r="A11" s="893"/>
      <c r="C11" s="896"/>
      <c r="E11" s="194"/>
      <c r="G11" s="18"/>
      <c r="I11" s="49"/>
      <c r="J11" s="49"/>
      <c r="K11" s="897">
        <v>0</v>
      </c>
      <c r="L11" s="606"/>
      <c r="M11" s="590"/>
      <c r="N11" s="49"/>
      <c r="O11" s="49"/>
    </row>
    <row r="12" spans="1:16" s="15" customFormat="1" ht="17.7">
      <c r="A12" s="893"/>
      <c r="C12" s="896"/>
      <c r="E12" s="194"/>
      <c r="G12" s="18"/>
      <c r="I12" s="49"/>
      <c r="J12" s="49"/>
      <c r="K12" s="895">
        <v>0</v>
      </c>
      <c r="L12" s="606"/>
      <c r="N12" s="49"/>
      <c r="O12" s="49"/>
    </row>
    <row r="13" spans="1:16" s="15" customFormat="1" ht="17.7">
      <c r="A13" s="893"/>
      <c r="C13" s="896"/>
      <c r="E13" s="194"/>
      <c r="G13" s="18"/>
      <c r="I13" s="49"/>
      <c r="J13" s="49"/>
      <c r="K13" s="895">
        <v>0</v>
      </c>
      <c r="L13" s="606"/>
      <c r="N13" s="49"/>
      <c r="O13" s="49"/>
    </row>
    <row r="14" spans="1:16" s="15" customFormat="1" ht="14.1" customHeight="1">
      <c r="A14" s="898"/>
      <c r="C14" s="894"/>
      <c r="D14" s="598"/>
      <c r="E14" s="194"/>
      <c r="G14" s="200"/>
      <c r="I14" s="49"/>
      <c r="J14" s="49"/>
      <c r="K14" s="895">
        <v>0</v>
      </c>
      <c r="L14" s="56"/>
      <c r="M14" s="49"/>
      <c r="N14" s="49"/>
      <c r="O14" s="49"/>
    </row>
    <row r="15" spans="1:16" s="15" customFormat="1" ht="14.1" customHeight="1">
      <c r="A15" s="893"/>
      <c r="C15" s="896"/>
      <c r="D15" s="598"/>
      <c r="E15" s="194"/>
      <c r="G15" s="200"/>
      <c r="I15" s="49"/>
      <c r="J15" s="49"/>
      <c r="K15" s="895">
        <v>0</v>
      </c>
      <c r="L15" s="56"/>
      <c r="M15" s="49"/>
      <c r="N15" s="49"/>
      <c r="O15" s="49"/>
    </row>
    <row r="16" spans="1:16" s="15" customFormat="1" ht="14.1" customHeight="1">
      <c r="A16" s="893"/>
      <c r="C16" s="896"/>
      <c r="D16" s="598"/>
      <c r="E16" s="194"/>
      <c r="G16" s="200"/>
      <c r="I16" s="49"/>
      <c r="J16" s="49"/>
      <c r="K16" s="895">
        <v>0</v>
      </c>
      <c r="L16" s="56"/>
      <c r="M16" s="49"/>
      <c r="N16" s="49"/>
      <c r="O16" s="49"/>
    </row>
    <row r="17" spans="1:15" s="15" customFormat="1" ht="17.7">
      <c r="A17" s="16"/>
      <c r="E17" s="17"/>
      <c r="G17" s="18"/>
      <c r="I17" s="49"/>
      <c r="J17" s="49"/>
      <c r="K17" s="51"/>
      <c r="L17" s="50"/>
      <c r="M17" s="669">
        <f>SUM(K8:K16)</f>
        <v>321628.61</v>
      </c>
      <c r="N17" s="49"/>
      <c r="O17" s="49"/>
    </row>
    <row r="18" spans="1:15" s="15" customFormat="1" ht="17.7">
      <c r="A18" s="16"/>
      <c r="E18" s="17"/>
      <c r="G18" s="18"/>
      <c r="I18" s="49"/>
      <c r="J18" s="49"/>
      <c r="K18" s="49"/>
      <c r="L18" s="50"/>
      <c r="M18" s="49"/>
      <c r="N18" s="49"/>
      <c r="O18" s="205">
        <f>SUM(M17)</f>
        <v>321628.61</v>
      </c>
    </row>
    <row r="19" spans="1:15" s="15" customFormat="1" ht="14.1" customHeight="1">
      <c r="A19" s="7" t="s">
        <v>156</v>
      </c>
      <c r="B19" s="11"/>
      <c r="C19" s="9"/>
      <c r="D19" s="11"/>
      <c r="E19" s="10" t="s">
        <v>139</v>
      </c>
      <c r="F19" s="11"/>
      <c r="G19" s="12" t="s">
        <v>140</v>
      </c>
      <c r="H19" s="11"/>
      <c r="I19" s="13" t="s">
        <v>141</v>
      </c>
      <c r="J19" s="13"/>
      <c r="K19" s="13" t="s">
        <v>142</v>
      </c>
      <c r="L19" s="48"/>
      <c r="M19" s="11" t="s">
        <v>143</v>
      </c>
      <c r="N19" s="11"/>
      <c r="O19" s="14" t="s">
        <v>144</v>
      </c>
    </row>
    <row r="20" spans="1:15" s="15" customFormat="1" ht="17.7">
      <c r="A20" s="898"/>
      <c r="B20" s="197"/>
      <c r="C20" s="894"/>
      <c r="D20" s="899"/>
      <c r="E20" s="588"/>
      <c r="G20" s="200"/>
      <c r="I20" s="201"/>
      <c r="J20" s="49"/>
      <c r="K20" s="895">
        <v>0</v>
      </c>
      <c r="L20" s="56"/>
      <c r="M20" s="49"/>
      <c r="N20" s="49"/>
      <c r="O20" s="49"/>
    </row>
    <row r="21" spans="1:15" s="15" customFormat="1" ht="17.7">
      <c r="A21" s="1190"/>
      <c r="B21" s="203"/>
      <c r="C21" s="1192"/>
      <c r="D21" s="1193"/>
      <c r="E21" s="194"/>
      <c r="G21" s="1607"/>
      <c r="H21" s="1607"/>
      <c r="I21" s="1607"/>
      <c r="J21" s="1607"/>
      <c r="K21" s="897">
        <v>0</v>
      </c>
      <c r="L21" s="446"/>
      <c r="M21" s="201"/>
      <c r="N21" s="49"/>
      <c r="O21" s="205"/>
    </row>
    <row r="22" spans="1:15" s="15" customFormat="1" ht="14.1" customHeight="1">
      <c r="A22" s="1190" t="s">
        <v>154</v>
      </c>
      <c r="B22" s="203"/>
      <c r="C22" s="1192" t="s">
        <v>261</v>
      </c>
      <c r="D22" s="1194" t="s">
        <v>262</v>
      </c>
      <c r="E22" s="194"/>
      <c r="G22" s="1607"/>
      <c r="H22" s="1607"/>
      <c r="I22" s="1607"/>
      <c r="J22" s="1607"/>
      <c r="K22" s="897">
        <v>188000</v>
      </c>
      <c r="L22" s="50"/>
      <c r="M22" s="49"/>
      <c r="N22" s="49"/>
      <c r="O22" s="49"/>
    </row>
    <row r="23" spans="1:15" ht="17.7">
      <c r="A23" s="1190"/>
      <c r="C23" s="1192"/>
      <c r="D23" s="1193"/>
      <c r="E23" s="17"/>
      <c r="K23" s="897">
        <v>0</v>
      </c>
    </row>
    <row r="24" spans="1:15" ht="17.7">
      <c r="A24" s="1190"/>
      <c r="C24" s="894"/>
      <c r="D24" s="899"/>
      <c r="E24" s="17"/>
      <c r="K24" s="897">
        <v>0</v>
      </c>
    </row>
    <row r="25" spans="1:15" ht="17.7">
      <c r="A25" s="1191"/>
      <c r="C25" s="1192"/>
      <c r="D25" s="1193"/>
      <c r="E25" s="17"/>
      <c r="K25" s="897">
        <v>0</v>
      </c>
    </row>
    <row r="26" spans="1:15" s="15" customFormat="1" ht="17.7">
      <c r="A26" s="1191"/>
      <c r="B26" s="203"/>
      <c r="C26" s="893"/>
      <c r="D26" s="901"/>
      <c r="E26" s="194"/>
      <c r="G26" s="18"/>
      <c r="I26" s="201"/>
      <c r="J26" s="49"/>
      <c r="K26" s="897">
        <v>0</v>
      </c>
      <c r="L26" s="50"/>
      <c r="M26" s="49"/>
      <c r="N26" s="49"/>
      <c r="O26" s="49"/>
    </row>
    <row r="27" spans="1:15" s="15" customFormat="1" ht="14.1" customHeight="1">
      <c r="A27" s="900"/>
      <c r="B27" s="203"/>
      <c r="C27" s="893"/>
      <c r="D27" s="899"/>
      <c r="E27" s="194"/>
      <c r="G27" s="1607"/>
      <c r="H27" s="1607"/>
      <c r="I27" s="1607"/>
      <c r="J27" s="1607"/>
      <c r="K27" s="897">
        <v>0</v>
      </c>
      <c r="L27" s="50"/>
      <c r="M27" s="49"/>
      <c r="N27" s="49"/>
      <c r="O27" s="49"/>
    </row>
    <row r="28" spans="1:15" s="15" customFormat="1" ht="14.1" customHeight="1">
      <c r="A28" s="900"/>
      <c r="B28" s="203"/>
      <c r="C28" s="896"/>
      <c r="D28" s="899"/>
      <c r="E28" s="194"/>
      <c r="G28" s="18"/>
      <c r="I28" s="201"/>
      <c r="J28" s="49"/>
      <c r="K28" s="897">
        <v>0</v>
      </c>
      <c r="L28" s="50"/>
      <c r="M28" s="49"/>
      <c r="N28" s="49"/>
      <c r="O28" s="49"/>
    </row>
    <row r="29" spans="1:15" s="15" customFormat="1" ht="14.1" customHeight="1">
      <c r="A29" s="900"/>
      <c r="B29" s="203"/>
      <c r="C29" s="896"/>
      <c r="D29" s="899"/>
      <c r="E29" s="199"/>
      <c r="G29" s="18"/>
      <c r="I29" s="201"/>
      <c r="J29" s="49"/>
      <c r="K29" s="897">
        <v>0</v>
      </c>
      <c r="L29" s="50"/>
      <c r="M29" s="49"/>
      <c r="N29" s="49"/>
      <c r="O29" s="49"/>
    </row>
    <row r="30" spans="1:15" s="15" customFormat="1" ht="17.7">
      <c r="A30" s="52"/>
      <c r="B30" s="203"/>
      <c r="C30" s="196"/>
      <c r="D30" s="198"/>
      <c r="G30" s="200"/>
      <c r="I30" s="201"/>
      <c r="J30" s="49"/>
      <c r="K30" s="202"/>
      <c r="L30" s="50"/>
      <c r="M30" s="495">
        <f>SUM(K20:K30)</f>
        <v>188000</v>
      </c>
      <c r="N30" s="49"/>
      <c r="O30" s="49"/>
    </row>
    <row r="31" spans="1:15" ht="17.7">
      <c r="A31" s="902"/>
      <c r="C31" s="903"/>
      <c r="D31" s="1073"/>
      <c r="K31" s="904">
        <v>0</v>
      </c>
      <c r="M31" s="671">
        <f>K31</f>
        <v>0</v>
      </c>
    </row>
    <row r="32" spans="1:15" s="15" customFormat="1" ht="17.7">
      <c r="A32" s="16"/>
      <c r="B32" s="16"/>
      <c r="E32" s="17"/>
      <c r="G32" s="18"/>
      <c r="I32" s="145"/>
      <c r="J32" s="146"/>
      <c r="K32" s="145"/>
      <c r="L32" s="50"/>
      <c r="O32" s="323">
        <f>SUM(M30:M31)</f>
        <v>188000</v>
      </c>
    </row>
    <row r="33" spans="1:17" s="15" customFormat="1" ht="14.1" customHeight="1">
      <c r="A33" s="7" t="s">
        <v>166</v>
      </c>
      <c r="B33" s="8"/>
      <c r="C33" s="9"/>
      <c r="D33" s="9"/>
      <c r="E33" s="11"/>
      <c r="F33" s="9"/>
      <c r="G33" s="20"/>
      <c r="H33" s="20"/>
      <c r="I33" s="53"/>
      <c r="J33" s="53"/>
      <c r="K33" s="53"/>
      <c r="L33" s="48"/>
      <c r="M33" s="9"/>
      <c r="N33" s="9"/>
      <c r="O33" s="54"/>
    </row>
    <row r="34" spans="1:17" s="15" customFormat="1" ht="17.7">
      <c r="E34" s="17"/>
      <c r="G34" s="18"/>
      <c r="I34" s="49"/>
      <c r="J34" s="49"/>
      <c r="K34" s="55"/>
      <c r="L34" s="56"/>
      <c r="M34" s="57"/>
      <c r="N34" s="57"/>
      <c r="O34" s="323">
        <f>SUM(O18+O32)</f>
        <v>509628.61</v>
      </c>
    </row>
    <row r="35" spans="1:17" s="15" customFormat="1" ht="14.1" customHeight="1">
      <c r="A35" s="7" t="s">
        <v>167</v>
      </c>
      <c r="B35" s="9"/>
      <c r="C35" s="9"/>
      <c r="D35" s="9"/>
      <c r="E35" s="10" t="s">
        <v>168</v>
      </c>
      <c r="F35" s="11"/>
      <c r="G35" s="12" t="s">
        <v>169</v>
      </c>
      <c r="H35" s="11"/>
      <c r="I35" s="11" t="s">
        <v>170</v>
      </c>
      <c r="J35" s="11"/>
      <c r="K35" s="11" t="s">
        <v>171</v>
      </c>
      <c r="L35" s="48"/>
      <c r="M35" s="11" t="s">
        <v>172</v>
      </c>
      <c r="N35" s="59"/>
      <c r="O35" s="60"/>
    </row>
    <row r="36" spans="1:17" s="15" customFormat="1" ht="14.1" customHeight="1">
      <c r="A36" s="362"/>
      <c r="B36" s="363"/>
      <c r="C36" s="363"/>
      <c r="D36" s="363"/>
      <c r="E36" s="364"/>
      <c r="F36" s="365"/>
      <c r="G36" s="366"/>
      <c r="H36" s="365"/>
      <c r="I36" s="365"/>
      <c r="J36" s="365"/>
      <c r="K36" s="365"/>
      <c r="L36" s="367"/>
      <c r="M36" s="365"/>
      <c r="N36" s="368"/>
      <c r="O36" s="368"/>
    </row>
    <row r="37" spans="1:17" s="15" customFormat="1" ht="14.1" customHeight="1">
      <c r="A37" s="1195"/>
      <c r="C37" s="906"/>
      <c r="E37" s="907"/>
      <c r="G37" s="908"/>
      <c r="I37" s="909"/>
      <c r="J37" s="49"/>
      <c r="K37" s="910">
        <v>0</v>
      </c>
      <c r="L37" s="56"/>
      <c r="M37" s="911">
        <v>0</v>
      </c>
      <c r="N37" s="57"/>
      <c r="O37" s="58"/>
    </row>
    <row r="38" spans="1:17" s="15" customFormat="1" ht="14.1" customHeight="1">
      <c r="A38" s="905"/>
      <c r="C38" s="906"/>
      <c r="E38" s="907"/>
      <c r="G38" s="908"/>
      <c r="I38" s="909"/>
      <c r="J38" s="49"/>
      <c r="K38" s="910">
        <v>0</v>
      </c>
      <c r="L38" s="56"/>
      <c r="M38" s="911">
        <v>0</v>
      </c>
      <c r="N38" s="57"/>
      <c r="O38" s="58"/>
    </row>
    <row r="39" spans="1:17" s="15" customFormat="1" ht="14.1" customHeight="1">
      <c r="A39" s="1195"/>
      <c r="C39" s="906"/>
      <c r="E39" s="907"/>
      <c r="G39" s="908"/>
      <c r="I39" s="909"/>
      <c r="J39" s="49"/>
      <c r="K39" s="910">
        <v>0</v>
      </c>
      <c r="L39" s="56"/>
      <c r="M39" s="911">
        <v>0</v>
      </c>
      <c r="N39" s="57"/>
      <c r="O39" s="58"/>
    </row>
    <row r="40" spans="1:17" s="15" customFormat="1" ht="14.1" customHeight="1">
      <c r="A40" s="905"/>
      <c r="E40" s="907"/>
      <c r="G40" s="908"/>
      <c r="I40" s="909"/>
      <c r="J40" s="49"/>
      <c r="K40" s="910">
        <v>0</v>
      </c>
      <c r="L40" s="56"/>
      <c r="M40" s="911">
        <v>0</v>
      </c>
      <c r="N40" s="57"/>
      <c r="O40" s="58"/>
    </row>
    <row r="41" spans="1:17" s="15" customFormat="1" ht="13.6" customHeight="1">
      <c r="A41" s="16"/>
      <c r="E41" s="153"/>
      <c r="G41" s="18"/>
      <c r="I41" s="49"/>
      <c r="J41" s="49"/>
      <c r="K41" s="591" t="s">
        <v>174</v>
      </c>
      <c r="L41" s="56"/>
      <c r="M41" s="147"/>
      <c r="N41" s="57"/>
      <c r="O41" s="323">
        <f>SUM(K37:K40)</f>
        <v>0</v>
      </c>
    </row>
    <row r="42" spans="1:17" s="2" customFormat="1" ht="13.6" customHeight="1">
      <c r="A42" s="24" t="s">
        <v>175</v>
      </c>
      <c r="B42" s="29"/>
      <c r="C42" s="30"/>
      <c r="D42" s="29"/>
      <c r="E42" s="13" t="s">
        <v>176</v>
      </c>
      <c r="F42" s="25"/>
      <c r="G42" s="25" t="s">
        <v>169</v>
      </c>
      <c r="H42" s="26"/>
      <c r="I42" s="25" t="s">
        <v>170</v>
      </c>
      <c r="J42" s="11"/>
      <c r="K42" s="26" t="s">
        <v>177</v>
      </c>
      <c r="L42" s="25"/>
      <c r="M42" s="13" t="s">
        <v>178</v>
      </c>
      <c r="N42" s="11"/>
      <c r="O42" s="27" t="s">
        <v>179</v>
      </c>
      <c r="P42" s="28"/>
      <c r="Q42" s="28"/>
    </row>
    <row r="43" spans="1:17" ht="14.1" customHeight="1">
      <c r="A43" s="1195" t="s">
        <v>154</v>
      </c>
      <c r="B43" s="31"/>
      <c r="C43" s="906" t="s">
        <v>263</v>
      </c>
      <c r="D43" s="2"/>
      <c r="E43" s="912"/>
      <c r="F43" s="2"/>
      <c r="G43" s="913"/>
      <c r="H43" s="2"/>
      <c r="I43" s="914" t="s">
        <v>180</v>
      </c>
      <c r="J43" s="61"/>
      <c r="K43" s="915" t="s">
        <v>180</v>
      </c>
      <c r="L43" s="62"/>
      <c r="M43" s="916">
        <v>0</v>
      </c>
      <c r="N43" s="63"/>
      <c r="O43" s="917"/>
    </row>
    <row r="44" spans="1:17" ht="14.1" customHeight="1">
      <c r="A44" s="905">
        <v>0</v>
      </c>
      <c r="B44" s="31"/>
      <c r="C44" s="906"/>
      <c r="D44" s="2"/>
      <c r="E44" s="912"/>
      <c r="F44" s="2"/>
      <c r="G44" s="913"/>
      <c r="H44" s="2"/>
      <c r="I44" s="914" t="s">
        <v>180</v>
      </c>
      <c r="J44" s="61"/>
      <c r="K44" s="915" t="s">
        <v>180</v>
      </c>
      <c r="L44" s="62"/>
      <c r="M44" s="916"/>
      <c r="N44" s="63"/>
      <c r="O44" s="917"/>
    </row>
    <row r="45" spans="1:17" ht="14.1" customHeight="1">
      <c r="A45" s="905"/>
      <c r="B45" s="31"/>
      <c r="C45" s="906"/>
      <c r="D45" s="2"/>
      <c r="E45" s="912"/>
      <c r="F45" s="2"/>
      <c r="G45" s="913"/>
      <c r="H45" s="2"/>
      <c r="I45" s="914" t="s">
        <v>180</v>
      </c>
      <c r="J45" s="61"/>
      <c r="K45" s="915" t="s">
        <v>180</v>
      </c>
      <c r="L45" s="62"/>
      <c r="M45" s="916"/>
      <c r="N45" s="63"/>
      <c r="O45" s="917"/>
    </row>
    <row r="46" spans="1:17" ht="14.1" customHeight="1">
      <c r="A46" s="905"/>
      <c r="B46" s="31"/>
      <c r="C46" s="906"/>
      <c r="D46" s="2"/>
      <c r="E46" s="912"/>
      <c r="F46" s="2"/>
      <c r="G46" s="913"/>
      <c r="H46" s="2"/>
      <c r="I46" s="914" t="s">
        <v>180</v>
      </c>
      <c r="J46" s="61"/>
      <c r="K46" s="915" t="s">
        <v>180</v>
      </c>
      <c r="L46" s="62"/>
      <c r="M46" s="916"/>
      <c r="N46" s="63"/>
      <c r="O46" s="917"/>
    </row>
    <row r="47" spans="1:17" s="15" customFormat="1" ht="17.7">
      <c r="A47" s="7" t="s">
        <v>181</v>
      </c>
      <c r="B47" s="1605" t="s">
        <v>182</v>
      </c>
      <c r="C47" s="1605"/>
      <c r="D47" s="1606" t="s">
        <v>183</v>
      </c>
      <c r="E47" s="1606"/>
      <c r="F47" s="11" t="s">
        <v>184</v>
      </c>
      <c r="G47" s="64" t="s">
        <v>185</v>
      </c>
      <c r="H47" s="59"/>
      <c r="I47" s="59" t="s">
        <v>186</v>
      </c>
      <c r="J47" s="59"/>
      <c r="K47" s="59" t="s">
        <v>187</v>
      </c>
      <c r="L47" s="48"/>
      <c r="M47" s="59" t="s">
        <v>188</v>
      </c>
      <c r="N47" s="59"/>
      <c r="O47" s="60"/>
    </row>
    <row r="48" spans="1:17" s="15" customFormat="1" ht="17.7">
      <c r="A48" s="905" t="s">
        <v>189</v>
      </c>
      <c r="B48" s="1602" t="s">
        <v>264</v>
      </c>
      <c r="C48" s="1602"/>
      <c r="D48" s="1603" t="s">
        <v>265</v>
      </c>
      <c r="E48" s="1603"/>
      <c r="F48" s="1036" t="s">
        <v>192</v>
      </c>
      <c r="G48" s="1036">
        <v>60142</v>
      </c>
      <c r="I48" s="918">
        <v>0</v>
      </c>
      <c r="J48" s="49"/>
      <c r="K48" s="919">
        <v>350000</v>
      </c>
      <c r="L48" s="50"/>
      <c r="M48" s="195">
        <f>K48-I48</f>
        <v>350000</v>
      </c>
      <c r="N48" s="49"/>
      <c r="O48" s="49"/>
    </row>
    <row r="49" spans="1:15" s="15" customFormat="1" ht="17.7">
      <c r="A49" s="905"/>
      <c r="B49" s="1602"/>
      <c r="C49" s="1602"/>
      <c r="D49" s="1603"/>
      <c r="E49" s="1603"/>
      <c r="F49" s="1036"/>
      <c r="G49" s="1036"/>
      <c r="I49" s="920">
        <v>0</v>
      </c>
      <c r="J49" s="49"/>
      <c r="K49" s="919">
        <v>0</v>
      </c>
      <c r="L49" s="50"/>
      <c r="M49" s="195">
        <f>K49-I49</f>
        <v>0</v>
      </c>
      <c r="N49" s="49"/>
      <c r="O49" s="49"/>
    </row>
    <row r="50" spans="1:15" s="15" customFormat="1" ht="17.7">
      <c r="A50" s="905"/>
      <c r="B50" s="1602"/>
      <c r="C50" s="1602"/>
      <c r="D50" s="1603"/>
      <c r="E50" s="1603"/>
      <c r="F50" s="1036"/>
      <c r="G50" s="1036"/>
      <c r="I50" s="207"/>
      <c r="J50" s="49"/>
      <c r="K50" s="195"/>
      <c r="L50" s="50"/>
      <c r="M50" s="195">
        <f>K50-I50</f>
        <v>0</v>
      </c>
      <c r="N50" s="49"/>
      <c r="O50" s="323">
        <f>SUM(K48+K49)</f>
        <v>350000</v>
      </c>
    </row>
    <row r="51" spans="1:15" s="15" customFormat="1" ht="14.1" customHeight="1">
      <c r="A51" s="21"/>
      <c r="B51" s="1037"/>
      <c r="C51" s="1037"/>
      <c r="D51" s="1037"/>
      <c r="E51" s="1038"/>
      <c r="F51" s="22"/>
      <c r="G51" s="23"/>
      <c r="H51" s="22"/>
      <c r="I51" s="65"/>
      <c r="J51" s="65"/>
      <c r="K51" s="65"/>
      <c r="L51" s="66"/>
      <c r="M51" s="65"/>
      <c r="N51" s="65"/>
      <c r="O51" s="67"/>
    </row>
    <row r="52" spans="1:15" s="15" customFormat="1" ht="17.7">
      <c r="A52" s="19" t="s">
        <v>193</v>
      </c>
      <c r="E52" s="17"/>
      <c r="G52" s="18"/>
      <c r="I52" s="49"/>
      <c r="J52" s="49"/>
      <c r="K52" s="49"/>
      <c r="L52" s="50"/>
      <c r="M52" s="323" t="s">
        <v>194</v>
      </c>
      <c r="N52" s="57"/>
      <c r="O52" s="205">
        <f>SUM(O18+O32+O41+O50,K49:K50)</f>
        <v>859628.61</v>
      </c>
    </row>
    <row r="53" spans="1:15" s="15" customFormat="1" ht="17.7">
      <c r="A53" s="138"/>
      <c r="E53" s="17"/>
      <c r="G53" s="18"/>
      <c r="I53" s="49"/>
      <c r="J53" s="49"/>
      <c r="K53" s="49"/>
      <c r="L53" s="50"/>
      <c r="M53" s="323" t="s">
        <v>195</v>
      </c>
      <c r="N53" s="57"/>
      <c r="O53" s="589">
        <f>SUM(I48:I50)</f>
        <v>0</v>
      </c>
    </row>
    <row r="54" spans="1:15" s="15" customFormat="1" ht="17.7">
      <c r="E54" s="17"/>
      <c r="G54" s="18"/>
      <c r="I54" s="49"/>
      <c r="J54" s="49"/>
      <c r="K54" s="49"/>
      <c r="L54" s="50"/>
      <c r="M54" s="323" t="s">
        <v>196</v>
      </c>
      <c r="N54" s="57"/>
      <c r="O54" s="205">
        <f>O52-O53</f>
        <v>859628.61</v>
      </c>
    </row>
    <row r="55" spans="1:15" ht="12.95" customHeight="1"/>
    <row r="56" spans="1:15" ht="12.95" customHeight="1"/>
    <row r="57" spans="1:15" ht="12.95" customHeight="1"/>
    <row r="58" spans="1:15" ht="12.95" customHeight="1"/>
    <row r="59" spans="1:15" ht="12.95" customHeight="1"/>
    <row r="60" spans="1:15" ht="12.95" customHeight="1"/>
    <row r="61" spans="1:15" ht="12.95" customHeight="1"/>
    <row r="62" spans="1:15" s="2" customFormat="1" ht="12.95" customHeight="1">
      <c r="E62" s="32"/>
      <c r="G62" s="5"/>
      <c r="L62" s="47"/>
    </row>
    <row r="63" spans="1:15" ht="12.95" customHeight="1"/>
    <row r="64" spans="1:15" ht="12.95" customHeight="1"/>
    <row r="65" spans="15:15">
      <c r="O65" s="1" t="s">
        <v>197</v>
      </c>
    </row>
  </sheetData>
  <mergeCells count="14">
    <mergeCell ref="E1:F1"/>
    <mergeCell ref="E3:K3"/>
    <mergeCell ref="E4:K4"/>
    <mergeCell ref="G27:J27"/>
    <mergeCell ref="G21:J21"/>
    <mergeCell ref="G22:J22"/>
    <mergeCell ref="B47:C47"/>
    <mergeCell ref="B48:C48"/>
    <mergeCell ref="B49:C49"/>
    <mergeCell ref="B50:C50"/>
    <mergeCell ref="D47:E47"/>
    <mergeCell ref="D48:E48"/>
    <mergeCell ref="D49:E49"/>
    <mergeCell ref="D50:E50"/>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T25"/>
  <sheetViews>
    <sheetView showGridLines="0" workbookViewId="0"/>
  </sheetViews>
  <sheetFormatPr defaultRowHeight="12.45"/>
  <cols>
    <col min="1" max="1" width="12.875" customWidth="1"/>
    <col min="2" max="3" width="15.125" customWidth="1"/>
    <col min="10" max="10" width="11.875" customWidth="1"/>
    <col min="11" max="11" width="12" customWidth="1"/>
    <col min="12" max="12" width="10.875" customWidth="1"/>
    <col min="14" max="20" width="9.125" style="75"/>
  </cols>
  <sheetData>
    <row r="1" spans="1:13" ht="24.25">
      <c r="A1" s="135" t="s">
        <v>72</v>
      </c>
      <c r="B1" s="134" t="s">
        <v>73</v>
      </c>
      <c r="C1" s="133" t="s">
        <v>74</v>
      </c>
      <c r="D1" s="2204" t="s">
        <v>1009</v>
      </c>
      <c r="E1" s="2204"/>
      <c r="F1" s="2204"/>
      <c r="G1" s="2204"/>
      <c r="H1" s="2204"/>
      <c r="I1" s="2204"/>
      <c r="J1" s="2204"/>
      <c r="K1" s="2204"/>
      <c r="L1" s="2204"/>
      <c r="M1" s="2204"/>
    </row>
    <row r="2" spans="1:13" ht="18.350000000000001">
      <c r="A2" s="132">
        <v>90000</v>
      </c>
      <c r="B2" s="131">
        <v>61000</v>
      </c>
      <c r="C2" s="130">
        <v>1115000</v>
      </c>
      <c r="D2" s="2236" t="s">
        <v>1010</v>
      </c>
      <c r="E2" s="2236"/>
      <c r="F2" s="2236"/>
      <c r="G2" s="2236"/>
      <c r="H2" s="2236"/>
      <c r="I2" s="2236"/>
      <c r="J2" s="2236"/>
      <c r="K2" s="2236"/>
      <c r="L2" s="2236"/>
      <c r="M2" s="2236"/>
    </row>
    <row r="3" spans="1:13">
      <c r="A3" s="34"/>
      <c r="B3" s="118"/>
      <c r="C3" s="35"/>
      <c r="D3" s="75"/>
      <c r="E3" s="75"/>
      <c r="F3" s="75"/>
      <c r="G3" s="75"/>
      <c r="H3" s="75"/>
      <c r="I3" s="75"/>
      <c r="J3" s="75"/>
      <c r="K3" s="75"/>
      <c r="L3" s="75"/>
      <c r="M3" s="75"/>
    </row>
    <row r="4" spans="1:13" ht="18.350000000000001">
      <c r="A4" s="34"/>
      <c r="B4" s="118"/>
      <c r="C4" s="35"/>
      <c r="D4" s="2237" t="s">
        <v>1011</v>
      </c>
      <c r="E4" s="2237"/>
      <c r="F4" s="2237"/>
      <c r="G4" s="2237"/>
      <c r="H4" s="2237"/>
      <c r="I4" s="2237"/>
      <c r="J4" s="2237"/>
      <c r="K4" s="2237"/>
      <c r="L4" s="2237"/>
      <c r="M4" s="2237"/>
    </row>
    <row r="5" spans="1:13">
      <c r="A5" s="34"/>
      <c r="B5" s="118"/>
      <c r="C5" s="35"/>
      <c r="D5" s="75"/>
      <c r="E5" s="75"/>
      <c r="F5" s="75"/>
      <c r="G5" s="75"/>
      <c r="H5" s="75"/>
      <c r="I5" s="1891"/>
      <c r="J5" s="1891"/>
      <c r="K5" s="1891"/>
      <c r="L5" s="1891"/>
      <c r="M5" s="1891"/>
    </row>
    <row r="6" spans="1:13" ht="15.05">
      <c r="I6" s="1818"/>
      <c r="J6" s="2202"/>
      <c r="K6" s="2202"/>
      <c r="L6" s="2202"/>
      <c r="M6" s="2202"/>
    </row>
    <row r="7" spans="1:13" ht="15.75">
      <c r="I7" s="2203" t="s">
        <v>939</v>
      </c>
      <c r="J7" s="2202"/>
      <c r="K7" s="2202"/>
      <c r="L7" s="2202"/>
      <c r="M7" s="2202"/>
    </row>
    <row r="8" spans="1:13" ht="15.05">
      <c r="I8" s="129" t="s">
        <v>252</v>
      </c>
      <c r="J8" s="123">
        <v>81854.070000000007</v>
      </c>
      <c r="K8" s="124">
        <v>68854.070000000007</v>
      </c>
      <c r="L8" s="125">
        <v>42563.43</v>
      </c>
      <c r="M8" s="75"/>
    </row>
    <row r="9" spans="1:13" ht="15.05">
      <c r="I9" s="129" t="s">
        <v>940</v>
      </c>
      <c r="J9" s="126">
        <v>85918.06</v>
      </c>
      <c r="K9" s="1818" t="s">
        <v>941</v>
      </c>
      <c r="L9" s="1818"/>
      <c r="M9" s="1818"/>
    </row>
    <row r="10" spans="1:13">
      <c r="I10" s="75"/>
      <c r="J10" s="75"/>
      <c r="K10" s="75"/>
      <c r="L10" s="75"/>
      <c r="M10" s="75"/>
    </row>
    <row r="11" spans="1:13" ht="15.05">
      <c r="I11" s="1818" t="s">
        <v>942</v>
      </c>
      <c r="J11" s="1818"/>
      <c r="K11" s="1818"/>
      <c r="L11" s="1818"/>
      <c r="M11" s="1818"/>
    </row>
    <row r="12" spans="1:13" ht="15.75">
      <c r="I12" s="2203" t="s">
        <v>939</v>
      </c>
      <c r="J12" s="2202"/>
      <c r="K12" s="2202"/>
      <c r="L12" s="2202"/>
      <c r="M12" s="2202"/>
    </row>
    <row r="13" spans="1:13" ht="15.05">
      <c r="I13" s="129" t="s">
        <v>252</v>
      </c>
      <c r="J13" s="123">
        <v>91252</v>
      </c>
      <c r="K13" s="127">
        <v>105872.67</v>
      </c>
      <c r="L13" s="128">
        <v>80619.86</v>
      </c>
      <c r="M13" s="75"/>
    </row>
    <row r="14" spans="1:13" ht="15.05">
      <c r="I14" s="129" t="s">
        <v>943</v>
      </c>
      <c r="J14" s="123">
        <v>120273.87</v>
      </c>
      <c r="K14" s="1818" t="s">
        <v>944</v>
      </c>
      <c r="L14" s="1818"/>
      <c r="M14" s="1818"/>
    </row>
    <row r="15" spans="1:13">
      <c r="I15" s="75"/>
      <c r="J15" s="75"/>
      <c r="K15" s="75"/>
      <c r="L15" s="75"/>
      <c r="M15" s="75"/>
    </row>
    <row r="16" spans="1:13" ht="15.05">
      <c r="I16" s="1818" t="s">
        <v>945</v>
      </c>
      <c r="J16" s="1818"/>
      <c r="K16" s="1818"/>
      <c r="L16" s="1818"/>
      <c r="M16" s="1818"/>
    </row>
    <row r="17" spans="9:13" ht="15.75">
      <c r="I17" s="2203" t="s">
        <v>939</v>
      </c>
      <c r="J17" s="2202"/>
      <c r="K17" s="2202"/>
      <c r="L17" s="2202"/>
      <c r="M17" s="2202"/>
    </row>
    <row r="18" spans="9:13" ht="15.05">
      <c r="I18" s="129" t="s">
        <v>252</v>
      </c>
      <c r="J18" s="123">
        <v>101829</v>
      </c>
      <c r="K18" s="127">
        <v>90674.69</v>
      </c>
      <c r="L18" s="128">
        <v>62768.480000000003</v>
      </c>
      <c r="M18" s="75"/>
    </row>
    <row r="19" spans="9:13" ht="15.05">
      <c r="I19" s="129" t="s">
        <v>940</v>
      </c>
      <c r="J19" s="123">
        <v>106123.06</v>
      </c>
      <c r="K19" s="1818" t="s">
        <v>946</v>
      </c>
      <c r="L19" s="1891"/>
      <c r="M19" s="1891"/>
    </row>
    <row r="20" spans="9:13">
      <c r="I20" s="1891"/>
      <c r="J20" s="1891"/>
      <c r="K20" s="1891"/>
      <c r="L20" s="1891"/>
      <c r="M20" s="1891"/>
    </row>
    <row r="21" spans="9:13" ht="15.05">
      <c r="I21" s="1818" t="s">
        <v>947</v>
      </c>
      <c r="J21" s="2202"/>
      <c r="K21" s="2202"/>
      <c r="L21" s="2202"/>
      <c r="M21" s="2202"/>
    </row>
    <row r="22" spans="9:13" ht="15.05">
      <c r="I22" s="2202" t="s">
        <v>1012</v>
      </c>
      <c r="J22" s="2202"/>
      <c r="K22" s="2202"/>
      <c r="L22" s="2202"/>
      <c r="M22" s="2202"/>
    </row>
    <row r="23" spans="9:13" ht="15.05">
      <c r="I23" s="2202" t="s">
        <v>1013</v>
      </c>
      <c r="J23" s="2202"/>
      <c r="K23" s="2202"/>
      <c r="L23" s="2202"/>
      <c r="M23" s="2202"/>
    </row>
    <row r="24" spans="9:13" ht="15.05">
      <c r="I24" s="2202" t="s">
        <v>950</v>
      </c>
      <c r="J24" s="2202"/>
      <c r="K24" s="2202"/>
      <c r="L24" s="2202"/>
      <c r="M24" s="2202"/>
    </row>
    <row r="25" spans="9:13">
      <c r="I25" s="1891"/>
      <c r="J25" s="1891"/>
      <c r="K25" s="1891"/>
      <c r="L25" s="1891"/>
      <c r="M25" s="1891"/>
    </row>
  </sheetData>
  <mergeCells count="19">
    <mergeCell ref="I25:M25"/>
    <mergeCell ref="K19:M19"/>
    <mergeCell ref="I20:M20"/>
    <mergeCell ref="I21:M21"/>
    <mergeCell ref="I22:M22"/>
    <mergeCell ref="I23:M23"/>
    <mergeCell ref="I24:M24"/>
    <mergeCell ref="I17:M17"/>
    <mergeCell ref="D1:M1"/>
    <mergeCell ref="D2:M2"/>
    <mergeCell ref="D4:M4"/>
    <mergeCell ref="I5:M5"/>
    <mergeCell ref="I6:M6"/>
    <mergeCell ref="I7:M7"/>
    <mergeCell ref="K9:M9"/>
    <mergeCell ref="I11:M11"/>
    <mergeCell ref="I12:M12"/>
    <mergeCell ref="K14:M14"/>
    <mergeCell ref="I16:M16"/>
  </mergeCell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499954222235786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72</v>
      </c>
      <c r="B1" s="134" t="s">
        <v>73</v>
      </c>
      <c r="C1" s="133" t="s">
        <v>74</v>
      </c>
      <c r="D1" s="2195" t="s">
        <v>916</v>
      </c>
      <c r="E1" s="2196"/>
      <c r="F1" s="2196"/>
      <c r="G1" s="2196"/>
      <c r="H1" s="2196"/>
      <c r="I1" s="2196"/>
      <c r="J1" s="2196"/>
      <c r="K1" s="2196"/>
      <c r="L1" s="2196"/>
      <c r="M1" s="2196"/>
    </row>
    <row r="2" spans="1:13" ht="18.350000000000001">
      <c r="A2" s="296">
        <v>39000</v>
      </c>
      <c r="B2" s="298">
        <v>525000</v>
      </c>
      <c r="C2" s="297">
        <v>214920</v>
      </c>
      <c r="D2" s="2197" t="s">
        <v>891</v>
      </c>
      <c r="E2" s="2198"/>
      <c r="F2" s="2198"/>
      <c r="G2" s="2198"/>
      <c r="H2" s="2198"/>
      <c r="I2" s="2198"/>
      <c r="J2" s="2198"/>
      <c r="K2" s="2198"/>
      <c r="L2" s="2198"/>
      <c r="M2" s="2198"/>
    </row>
    <row r="3" spans="1:13" ht="26.2">
      <c r="A3" s="34"/>
      <c r="B3" s="118"/>
      <c r="C3" s="35"/>
      <c r="D3" s="2108" t="s">
        <v>697</v>
      </c>
      <c r="E3" s="2109"/>
      <c r="F3" s="2109"/>
      <c r="G3" s="2109"/>
      <c r="H3" s="2109"/>
      <c r="I3" s="2109"/>
      <c r="J3" s="227">
        <f>'AS with changes'!O3</f>
        <v>75000</v>
      </c>
    </row>
    <row r="4" spans="1:13" ht="14.4">
      <c r="A4" s="34"/>
      <c r="B4" s="118"/>
      <c r="C4" s="35"/>
      <c r="D4" s="75"/>
      <c r="E4" s="75"/>
      <c r="F4" s="75"/>
      <c r="G4" s="75"/>
      <c r="I4" s="1589"/>
      <c r="J4" s="1590"/>
      <c r="K4" s="1590"/>
      <c r="L4" s="1590"/>
      <c r="M4" s="1590"/>
    </row>
    <row r="5" spans="1:13" ht="18.350000000000001">
      <c r="A5" s="34"/>
      <c r="B5" s="118"/>
      <c r="C5" s="35"/>
      <c r="D5" s="75"/>
      <c r="E5" s="75"/>
      <c r="F5" s="75"/>
      <c r="G5" s="75"/>
      <c r="I5" s="1722"/>
      <c r="J5" s="1723"/>
      <c r="K5" s="1723"/>
      <c r="L5" s="1723"/>
      <c r="M5" s="1723"/>
    </row>
    <row r="6" spans="1:13" ht="18.350000000000001">
      <c r="I6" s="2199" t="s">
        <v>1050</v>
      </c>
      <c r="J6" s="2200"/>
      <c r="K6" s="2200"/>
      <c r="L6" s="2200"/>
      <c r="M6" s="2200"/>
    </row>
    <row r="7" spans="1:13" ht="18.350000000000001">
      <c r="I7" s="2251" t="s">
        <v>1041</v>
      </c>
      <c r="J7" s="2251"/>
      <c r="K7" s="2251"/>
      <c r="L7" s="2251"/>
      <c r="M7" s="2251"/>
    </row>
    <row r="8" spans="1:13" ht="20.3">
      <c r="I8" s="350" t="s">
        <v>1042</v>
      </c>
      <c r="J8" s="231" t="s">
        <v>145</v>
      </c>
      <c r="K8" s="232" t="s">
        <v>785</v>
      </c>
      <c r="L8" s="348" t="s">
        <v>786</v>
      </c>
      <c r="M8" s="319"/>
    </row>
    <row r="9" spans="1:13" ht="18.350000000000001">
      <c r="I9" s="320" t="s">
        <v>800</v>
      </c>
      <c r="J9" s="236">
        <f>J3</f>
        <v>75000</v>
      </c>
      <c r="K9" s="236">
        <f>J3</f>
        <v>75000</v>
      </c>
      <c r="L9" s="236">
        <f>J3</f>
        <v>75000</v>
      </c>
      <c r="M9" s="157"/>
    </row>
    <row r="10" spans="1:13" ht="17.7">
      <c r="I10" s="238" t="s">
        <v>84</v>
      </c>
      <c r="J10" s="321">
        <v>80800.710000000006</v>
      </c>
      <c r="K10" s="240">
        <v>71308.460000000006</v>
      </c>
      <c r="L10" s="241">
        <v>73952.3</v>
      </c>
      <c r="M10" s="157"/>
    </row>
    <row r="11" spans="1:13" ht="18.350000000000001">
      <c r="I11" s="265" t="s">
        <v>802</v>
      </c>
      <c r="J11" s="253">
        <f>J9-J10</f>
        <v>-5800.7100000000064</v>
      </c>
      <c r="K11" s="261">
        <f>K9-K10</f>
        <v>3691.5399999999936</v>
      </c>
      <c r="L11" s="261">
        <f>L9-L10</f>
        <v>1047.6999999999971</v>
      </c>
      <c r="M11" s="286"/>
    </row>
    <row r="12" spans="1:13" ht="15.75">
      <c r="I12" s="2104"/>
      <c r="J12" s="2104"/>
      <c r="K12" s="2104"/>
      <c r="L12" s="2104"/>
      <c r="M12" s="2104"/>
    </row>
    <row r="13" spans="1:13" ht="18.350000000000001">
      <c r="I13" s="2199" t="s">
        <v>1051</v>
      </c>
      <c r="J13" s="2199"/>
      <c r="K13" s="2199"/>
      <c r="L13" s="2199"/>
      <c r="M13" s="2199"/>
    </row>
    <row r="14" spans="1:13" ht="20.3">
      <c r="I14" s="350" t="s">
        <v>1042</v>
      </c>
      <c r="J14" s="231" t="s">
        <v>145</v>
      </c>
      <c r="K14" s="232" t="s">
        <v>785</v>
      </c>
      <c r="L14" s="348" t="s">
        <v>786</v>
      </c>
      <c r="M14" s="319"/>
    </row>
    <row r="15" spans="1:13" ht="18.350000000000001">
      <c r="I15" s="320" t="s">
        <v>800</v>
      </c>
      <c r="J15" s="236">
        <f>J9</f>
        <v>75000</v>
      </c>
      <c r="K15" s="236">
        <f>J9</f>
        <v>75000</v>
      </c>
      <c r="L15" s="236">
        <f>J9</f>
        <v>75000</v>
      </c>
      <c r="M15" s="157"/>
    </row>
    <row r="16" spans="1:13" ht="17.7">
      <c r="I16" s="238" t="s">
        <v>84</v>
      </c>
      <c r="J16" s="239">
        <v>77372.94</v>
      </c>
      <c r="K16" s="240">
        <v>67880.69</v>
      </c>
      <c r="L16" s="241">
        <v>70524.53</v>
      </c>
      <c r="M16" s="354"/>
    </row>
    <row r="17" spans="9:14" ht="18.350000000000001">
      <c r="I17" s="265" t="s">
        <v>802</v>
      </c>
      <c r="J17" s="243">
        <f>J15-J16</f>
        <v>-2372.9400000000023</v>
      </c>
      <c r="K17" s="261">
        <f>K15-K16</f>
        <v>7119.3099999999977</v>
      </c>
      <c r="L17" s="261">
        <f>L15-L16</f>
        <v>4475.4700000000012</v>
      </c>
      <c r="M17" s="288"/>
    </row>
    <row r="18" spans="9:14" ht="14.4">
      <c r="I18" s="288"/>
      <c r="J18" s="288"/>
      <c r="K18" s="288"/>
      <c r="L18" s="288"/>
      <c r="M18" s="288"/>
    </row>
    <row r="19" spans="9:14" ht="18.350000000000001">
      <c r="I19" s="2162" t="s">
        <v>920</v>
      </c>
      <c r="J19" s="2162"/>
      <c r="K19" s="2162"/>
      <c r="L19" s="2162"/>
      <c r="M19" s="2162"/>
    </row>
    <row r="20" spans="9:14" ht="20.3">
      <c r="I20" s="355" t="s">
        <v>1042</v>
      </c>
      <c r="J20" s="231" t="s">
        <v>145</v>
      </c>
      <c r="K20" s="232" t="s">
        <v>785</v>
      </c>
      <c r="L20" s="233" t="s">
        <v>786</v>
      </c>
      <c r="M20" s="319"/>
    </row>
    <row r="21" spans="9:14" ht="20.3">
      <c r="I21" s="315" t="s">
        <v>800</v>
      </c>
      <c r="J21" s="236">
        <f>J15</f>
        <v>75000</v>
      </c>
      <c r="K21" s="236">
        <f>J15</f>
        <v>75000</v>
      </c>
      <c r="L21" s="236">
        <f>J15</f>
        <v>75000</v>
      </c>
      <c r="M21" s="319"/>
    </row>
    <row r="22" spans="9:14" ht="20.3">
      <c r="I22" s="314" t="s">
        <v>84</v>
      </c>
      <c r="J22" s="239">
        <v>52686.71</v>
      </c>
      <c r="K22" s="240">
        <v>43194.46</v>
      </c>
      <c r="L22" s="241">
        <v>45838.3</v>
      </c>
      <c r="M22" s="319"/>
    </row>
    <row r="23" spans="9:14" ht="18.350000000000001">
      <c r="I23" s="265" t="s">
        <v>802</v>
      </c>
      <c r="J23" s="243">
        <f>J21-J22</f>
        <v>22313.29</v>
      </c>
      <c r="K23" s="261">
        <f>K21-K22</f>
        <v>31805.54</v>
      </c>
      <c r="L23" s="261">
        <f>L21-L22</f>
        <v>29161.699999999997</v>
      </c>
      <c r="M23" s="284"/>
    </row>
    <row r="24" spans="9:14" ht="15.75">
      <c r="I24" s="2201"/>
      <c r="J24" s="2201"/>
      <c r="K24" s="2201"/>
      <c r="L24" s="2201"/>
      <c r="M24" s="2201"/>
    </row>
    <row r="26" spans="9:14" ht="18.649999999999999" customHeight="1">
      <c r="I26" s="2194" t="s">
        <v>1044</v>
      </c>
      <c r="J26" s="2194"/>
      <c r="K26" s="2194"/>
      <c r="L26" s="2194"/>
      <c r="M26" s="2194"/>
    </row>
    <row r="27" spans="9:14" ht="15.05" customHeight="1">
      <c r="I27" s="2171" t="s">
        <v>1045</v>
      </c>
      <c r="J27" s="2171"/>
      <c r="K27" s="2171"/>
      <c r="L27" s="2171"/>
      <c r="M27" s="2171"/>
      <c r="N27" s="211"/>
    </row>
    <row r="28" spans="9:14" ht="13.6" customHeight="1">
      <c r="I28" s="2171"/>
      <c r="J28" s="2171"/>
      <c r="K28" s="2171"/>
      <c r="L28" s="2171"/>
      <c r="M28" s="2171"/>
    </row>
    <row r="29" spans="9:14" ht="15.05">
      <c r="I29" s="2171"/>
      <c r="J29" s="2171"/>
      <c r="K29" s="2171"/>
      <c r="L29" s="2171"/>
      <c r="M29" s="2171"/>
    </row>
    <row r="30" spans="9:14" ht="20.3">
      <c r="I30" s="2194" t="s">
        <v>1046</v>
      </c>
      <c r="J30" s="2194"/>
      <c r="K30" s="2194"/>
      <c r="L30" s="2194"/>
      <c r="M30" s="2194"/>
    </row>
    <row r="31" spans="9:14" ht="15.05">
      <c r="I31" s="2171" t="s">
        <v>1047</v>
      </c>
      <c r="J31" s="2171"/>
      <c r="K31" s="2171"/>
      <c r="L31" s="2171"/>
      <c r="M31" s="2171"/>
    </row>
    <row r="32" spans="9:14" ht="18.649999999999999" customHeight="1">
      <c r="I32" s="2171" t="s">
        <v>1033</v>
      </c>
      <c r="J32" s="2171"/>
      <c r="K32" s="2171"/>
      <c r="L32" s="2171"/>
      <c r="M32" s="2171"/>
    </row>
    <row r="33" spans="9:13" ht="18.649999999999999" customHeight="1">
      <c r="I33" s="1575" t="s">
        <v>1034</v>
      </c>
      <c r="J33" s="1575"/>
      <c r="K33" s="1575"/>
      <c r="L33" s="1575"/>
      <c r="M33" s="1575"/>
    </row>
    <row r="34" spans="9:13" ht="15.05">
      <c r="I34" s="2171" t="s">
        <v>1048</v>
      </c>
      <c r="J34" s="2171"/>
      <c r="K34" s="2171"/>
      <c r="L34" s="2171"/>
      <c r="M34" s="2171"/>
    </row>
    <row r="35" spans="9:13" ht="15.05">
      <c r="I35" s="2171" t="s">
        <v>1049</v>
      </c>
      <c r="J35" s="2171"/>
      <c r="K35" s="2171"/>
      <c r="L35" s="2171"/>
      <c r="M35" s="2171"/>
    </row>
    <row r="36" spans="9:13" ht="15.05">
      <c r="I36" s="2171" t="s">
        <v>1037</v>
      </c>
      <c r="J36" s="2171"/>
      <c r="K36" s="2171"/>
      <c r="L36" s="2171"/>
      <c r="M36" s="2171"/>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3">
    <mergeCell ref="I6:M6"/>
    <mergeCell ref="D1:M1"/>
    <mergeCell ref="D2:M2"/>
    <mergeCell ref="D3:I3"/>
    <mergeCell ref="I4:M4"/>
    <mergeCell ref="I5:M5"/>
    <mergeCell ref="I32:M32"/>
    <mergeCell ref="I7:M7"/>
    <mergeCell ref="I12:M12"/>
    <mergeCell ref="I13:M13"/>
    <mergeCell ref="I19:M19"/>
    <mergeCell ref="I24:M24"/>
    <mergeCell ref="I26:M26"/>
    <mergeCell ref="I27:M27"/>
    <mergeCell ref="I28:M28"/>
    <mergeCell ref="I29:M29"/>
    <mergeCell ref="I30:M30"/>
    <mergeCell ref="I31:M31"/>
    <mergeCell ref="I33:M33"/>
    <mergeCell ref="I34:M34"/>
    <mergeCell ref="I35:M35"/>
    <mergeCell ref="I36:M36"/>
    <mergeCell ref="I37:M3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ColWidth="8.875" defaultRowHeight="12.4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showGridLines="0" workbookViewId="0"/>
  </sheetViews>
  <sheetFormatPr defaultRowHeight="12.4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0:V10"/>
  <sheetViews>
    <sheetView showGridLines="0" workbookViewId="0"/>
  </sheetViews>
  <sheetFormatPr defaultColWidth="9.125" defaultRowHeight="12.45"/>
  <cols>
    <col min="1" max="22" width="9.125" style="156"/>
  </cols>
  <sheetData>
    <row r="10" spans="1:1">
      <c r="A10" s="156" t="s">
        <v>266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pageSetUpPr fitToPage="1"/>
  </sheetPr>
  <dimension ref="A1:J117"/>
  <sheetViews>
    <sheetView showGridLines="0" showRowColHeaders="0" tabSelected="1" workbookViewId="0">
      <selection activeCell="C18" sqref="C18"/>
      <extLst>
        <ext xmlns:xlsdti="http://schemas.microsoft.com/office/spreadsheetml/2023/showDataTypeIcons" uri="{77bfe23e-c014-4d31-8a63-9c772dbf06b6}">
          <xlsdti:showDataTypeIcons visible="0"/>
        </ext>
      </extLst>
    </sheetView>
  </sheetViews>
  <sheetFormatPr defaultRowHeight="12.45"/>
  <cols>
    <col min="1" max="1" width="51.375" customWidth="1"/>
    <col min="2" max="2" width="40.125" customWidth="1"/>
    <col min="3" max="3" width="20.25" customWidth="1"/>
    <col min="4" max="4" width="22" customWidth="1"/>
    <col min="5" max="5" width="15.75" customWidth="1"/>
    <col min="6" max="6" width="20.25" customWidth="1"/>
    <col min="7" max="8" width="22.5" customWidth="1"/>
  </cols>
  <sheetData>
    <row r="1" spans="1:8">
      <c r="A1" s="1473" t="s">
        <v>267</v>
      </c>
      <c r="B1" s="1474"/>
      <c r="C1" s="1474"/>
      <c r="D1" s="1474"/>
      <c r="E1" s="1474"/>
      <c r="F1" s="1474"/>
      <c r="G1" s="1474"/>
      <c r="H1" s="1475"/>
    </row>
    <row r="2" spans="1:8" ht="14.1" customHeight="1">
      <c r="A2" s="1476">
        <f ca="1">NOW()</f>
        <v>46198.742530208336</v>
      </c>
      <c r="B2" s="1477"/>
      <c r="C2" s="1477"/>
      <c r="D2" s="1477"/>
      <c r="E2" s="1477"/>
      <c r="F2" s="1477"/>
      <c r="G2" s="1477"/>
      <c r="H2" s="1477"/>
    </row>
    <row r="3" spans="1:8" ht="14.1" customHeight="1">
      <c r="A3" s="1478"/>
      <c r="B3" s="1477"/>
      <c r="C3" s="1477"/>
      <c r="D3" s="1477"/>
      <c r="E3" s="1477"/>
      <c r="F3" s="1477"/>
      <c r="G3" s="1477"/>
      <c r="H3" s="1477"/>
    </row>
    <row r="4" spans="1:8" ht="27.65" customHeight="1">
      <c r="A4" s="1292" t="s">
        <v>268</v>
      </c>
      <c r="B4" s="2252"/>
      <c r="C4" s="2253"/>
      <c r="D4" s="2254"/>
      <c r="E4" s="1291" t="s">
        <v>269</v>
      </c>
      <c r="F4" s="2255"/>
      <c r="G4" s="1479"/>
      <c r="H4" s="1477"/>
    </row>
    <row r="5" spans="1:8" ht="14.1" customHeight="1">
      <c r="A5" s="1293" t="s">
        <v>270</v>
      </c>
      <c r="B5" s="2256"/>
      <c r="C5" s="2257"/>
      <c r="D5" s="2257"/>
      <c r="E5" s="2257"/>
      <c r="F5" s="2257"/>
      <c r="G5" s="2257"/>
      <c r="H5" s="2258"/>
    </row>
    <row r="6" spans="1:8" ht="14.1" customHeight="1">
      <c r="A6" s="1294" t="s">
        <v>183</v>
      </c>
      <c r="B6" s="2256"/>
      <c r="C6" s="2258"/>
      <c r="D6" s="1293" t="s">
        <v>184</v>
      </c>
      <c r="E6" s="2259"/>
      <c r="F6" s="1293" t="s">
        <v>271</v>
      </c>
      <c r="G6" s="2256"/>
      <c r="H6" s="2258"/>
    </row>
    <row r="7" spans="1:8">
      <c r="A7" s="1295"/>
      <c r="B7" s="1295"/>
      <c r="C7" s="1295"/>
      <c r="D7" s="1295"/>
      <c r="E7" s="1295"/>
      <c r="F7" s="1295"/>
      <c r="G7" s="1295"/>
      <c r="H7" s="1295"/>
    </row>
    <row r="8" spans="1:8">
      <c r="A8" s="1480" t="s">
        <v>272</v>
      </c>
      <c r="B8" s="1481"/>
      <c r="C8" s="1481"/>
      <c r="D8" s="1481"/>
      <c r="E8" s="1481"/>
      <c r="F8" s="1481"/>
      <c r="G8" s="1481"/>
      <c r="H8" s="1482"/>
    </row>
    <row r="9" spans="1:8" ht="14.1" customHeight="1">
      <c r="A9" s="1293" t="s">
        <v>273</v>
      </c>
      <c r="B9" s="2260" t="s">
        <v>1078</v>
      </c>
      <c r="C9" s="2261"/>
      <c r="D9" s="1291" t="s">
        <v>274</v>
      </c>
      <c r="E9" s="2262">
        <v>18919</v>
      </c>
      <c r="F9" s="1293" t="s">
        <v>58</v>
      </c>
      <c r="G9" s="2263">
        <f ca="1">DATEDIF(E9,TODAY(),"Y")</f>
        <v>74</v>
      </c>
      <c r="H9" s="1296"/>
    </row>
    <row r="10" spans="1:8" ht="14.1" customHeight="1">
      <c r="A10" s="1293" t="s">
        <v>275</v>
      </c>
      <c r="B10" s="2264" t="s">
        <v>1072</v>
      </c>
      <c r="C10" s="2265"/>
      <c r="D10" s="1291" t="s">
        <v>274</v>
      </c>
      <c r="E10" s="2266">
        <v>23906</v>
      </c>
      <c r="F10" s="1293" t="s">
        <v>58</v>
      </c>
      <c r="G10" s="2267">
        <f ca="1">DATEDIF(E10,TODAY(),"Y")</f>
        <v>61</v>
      </c>
      <c r="H10" s="1296"/>
    </row>
    <row r="11" spans="1:8" ht="14.1" customHeight="1">
      <c r="A11" s="1293" t="s">
        <v>276</v>
      </c>
      <c r="B11" s="2268" t="s">
        <v>1064</v>
      </c>
      <c r="C11" s="2257"/>
      <c r="D11" s="2257"/>
      <c r="E11" s="2257"/>
      <c r="F11" s="2257"/>
      <c r="G11" s="2257"/>
      <c r="H11" s="2258"/>
    </row>
    <row r="12" spans="1:8" ht="14.1" customHeight="1">
      <c r="A12" s="1293" t="s">
        <v>183</v>
      </c>
      <c r="B12" s="2269" t="s">
        <v>265</v>
      </c>
      <c r="C12" s="2258"/>
      <c r="D12" s="1293" t="s">
        <v>184</v>
      </c>
      <c r="E12" s="2270" t="s">
        <v>192</v>
      </c>
      <c r="F12" s="1291" t="s">
        <v>271</v>
      </c>
      <c r="G12" s="2271">
        <v>60142</v>
      </c>
      <c r="H12" s="1296"/>
    </row>
    <row r="13" spans="1:8" ht="14.1" customHeight="1">
      <c r="A13" s="1293" t="s">
        <v>277</v>
      </c>
      <c r="B13" s="2272" t="s">
        <v>43</v>
      </c>
      <c r="C13" s="2273"/>
      <c r="D13" s="1291" t="s">
        <v>278</v>
      </c>
      <c r="E13" s="2274"/>
      <c r="F13" s="2275"/>
      <c r="G13" s="2273"/>
      <c r="H13" s="1296"/>
    </row>
    <row r="14" spans="1:8" ht="14.1" customHeight="1">
      <c r="A14" s="1293" t="s">
        <v>279</v>
      </c>
      <c r="B14" s="2276"/>
      <c r="C14" s="2257"/>
      <c r="D14" s="2257"/>
      <c r="E14" s="2257"/>
      <c r="F14" s="2257"/>
      <c r="G14" s="2257"/>
      <c r="H14" s="2258"/>
    </row>
    <row r="15" spans="1:8">
      <c r="A15" s="1295"/>
      <c r="B15" s="1295"/>
      <c r="C15" s="1295"/>
      <c r="D15" s="1295"/>
      <c r="E15" s="1295"/>
      <c r="F15" s="1295"/>
      <c r="G15" s="1295"/>
      <c r="H15" s="1295"/>
    </row>
    <row r="16" spans="1:8">
      <c r="A16" s="1483" t="s">
        <v>280</v>
      </c>
      <c r="B16" s="1471"/>
      <c r="C16" s="1471"/>
      <c r="D16" s="1471"/>
      <c r="E16" s="1471"/>
      <c r="F16" s="1471"/>
      <c r="G16" s="1471"/>
      <c r="H16" s="1472"/>
    </row>
    <row r="17" spans="1:8" ht="26.7" customHeight="1">
      <c r="A17" s="1297" t="s">
        <v>273</v>
      </c>
      <c r="B17" s="1297" t="s">
        <v>58</v>
      </c>
      <c r="C17" s="1297" t="s">
        <v>281</v>
      </c>
      <c r="D17" s="1484" t="s">
        <v>282</v>
      </c>
      <c r="E17" s="1471"/>
      <c r="F17" s="1471"/>
      <c r="G17" s="1471"/>
      <c r="H17" s="1472"/>
    </row>
    <row r="18" spans="1:8" ht="14.1" customHeight="1">
      <c r="A18" s="2283" t="s">
        <v>1065</v>
      </c>
      <c r="B18" s="2277">
        <v>47</v>
      </c>
      <c r="C18" s="2277"/>
      <c r="D18" s="2278"/>
      <c r="E18" s="2279"/>
      <c r="F18" s="2279"/>
      <c r="G18" s="2279"/>
      <c r="H18" s="2280"/>
    </row>
    <row r="19" spans="1:8" ht="14.1" customHeight="1">
      <c r="A19" s="2282" t="s">
        <v>1066</v>
      </c>
      <c r="B19" s="2259">
        <v>51</v>
      </c>
      <c r="C19" s="2259"/>
      <c r="D19" s="2281"/>
      <c r="E19" s="2257"/>
      <c r="F19" s="2257"/>
      <c r="G19" s="2257"/>
      <c r="H19" s="2258"/>
    </row>
    <row r="20" spans="1:8" ht="14.1" customHeight="1">
      <c r="A20" s="2259"/>
      <c r="B20" s="2259"/>
      <c r="C20" s="2259"/>
      <c r="D20" s="2284"/>
      <c r="E20" s="2257"/>
      <c r="F20" s="2257"/>
      <c r="G20" s="2257"/>
      <c r="H20" s="2258"/>
    </row>
    <row r="21" spans="1:8" ht="14.1" customHeight="1">
      <c r="A21" s="2259"/>
      <c r="B21" s="2259"/>
      <c r="C21" s="2259"/>
      <c r="D21" s="2284"/>
      <c r="E21" s="2257"/>
      <c r="F21" s="2257"/>
      <c r="G21" s="2257"/>
      <c r="H21" s="2258"/>
    </row>
    <row r="22" spans="1:8">
      <c r="A22" s="1295"/>
      <c r="B22" s="1295"/>
      <c r="C22" s="1295"/>
      <c r="D22" s="1295"/>
      <c r="E22" s="1295"/>
      <c r="F22" s="1295"/>
      <c r="G22" s="1295"/>
      <c r="H22" s="1295"/>
    </row>
    <row r="23" spans="1:8">
      <c r="A23" s="1483" t="s">
        <v>283</v>
      </c>
      <c r="B23" s="1471"/>
      <c r="C23" s="1471"/>
      <c r="D23" s="1471"/>
      <c r="E23" s="1471"/>
      <c r="F23" s="1471"/>
      <c r="G23" s="1471"/>
      <c r="H23" s="1472"/>
    </row>
    <row r="24" spans="1:8" ht="27.65" customHeight="1">
      <c r="A24" s="1293" t="s">
        <v>284</v>
      </c>
      <c r="B24" s="2285"/>
      <c r="C24" s="2257"/>
      <c r="D24" s="2258"/>
      <c r="E24" s="1293" t="s">
        <v>285</v>
      </c>
      <c r="F24" s="2285"/>
      <c r="G24" s="2257"/>
      <c r="H24" s="2258"/>
    </row>
    <row r="25" spans="1:8" ht="27.65" customHeight="1">
      <c r="A25" s="1293" t="s">
        <v>286</v>
      </c>
      <c r="B25" s="2285" t="s">
        <v>287</v>
      </c>
      <c r="C25" s="2257"/>
      <c r="D25" s="2258"/>
      <c r="E25" s="1293" t="s">
        <v>285</v>
      </c>
      <c r="F25" s="2286" t="s">
        <v>1060</v>
      </c>
      <c r="G25" s="2257"/>
      <c r="H25" s="2258"/>
    </row>
    <row r="26" spans="1:8" ht="27.65" customHeight="1">
      <c r="A26" s="1293" t="s">
        <v>288</v>
      </c>
      <c r="B26" s="2285"/>
      <c r="C26" s="2257"/>
      <c r="D26" s="2258"/>
      <c r="E26" s="1293" t="s">
        <v>285</v>
      </c>
      <c r="F26" s="2285"/>
      <c r="G26" s="2257"/>
      <c r="H26" s="2258"/>
    </row>
    <row r="27" spans="1:8">
      <c r="A27" s="1295"/>
      <c r="B27" s="1295"/>
      <c r="C27" s="1295"/>
      <c r="D27" s="1295"/>
      <c r="E27" s="1295"/>
      <c r="F27" s="1295"/>
      <c r="G27" s="1295"/>
      <c r="H27" s="1295"/>
    </row>
    <row r="28" spans="1:8">
      <c r="A28" s="1483" t="s">
        <v>289</v>
      </c>
      <c r="B28" s="1471"/>
      <c r="C28" s="1471"/>
      <c r="D28" s="1471"/>
      <c r="E28" s="1471"/>
      <c r="F28" s="1471"/>
      <c r="G28" s="1471"/>
      <c r="H28" s="1472"/>
    </row>
    <row r="29" spans="1:8" ht="41.1" customHeight="1">
      <c r="A29" s="1293" t="s">
        <v>290</v>
      </c>
      <c r="B29" s="2287">
        <v>67</v>
      </c>
      <c r="C29" s="1293" t="s">
        <v>291</v>
      </c>
      <c r="D29" s="2287">
        <v>67</v>
      </c>
      <c r="E29" s="1293" t="s">
        <v>292</v>
      </c>
      <c r="F29" s="2277"/>
      <c r="G29" s="1293" t="s">
        <v>293</v>
      </c>
      <c r="H29" s="2277"/>
    </row>
    <row r="30" spans="1:8">
      <c r="A30" s="1295"/>
      <c r="B30" s="1295"/>
      <c r="C30" s="1295"/>
      <c r="D30" s="1295"/>
      <c r="E30" s="1295"/>
      <c r="F30" s="1295"/>
      <c r="G30" s="1295"/>
      <c r="H30" s="1295"/>
    </row>
    <row r="31" spans="1:8">
      <c r="A31" s="1483" t="s">
        <v>294</v>
      </c>
      <c r="B31" s="1471"/>
      <c r="C31" s="1471"/>
      <c r="D31" s="1471"/>
      <c r="E31" s="1471"/>
      <c r="F31" s="1471"/>
      <c r="G31" s="1471"/>
      <c r="H31" s="1472"/>
    </row>
    <row r="32" spans="1:8" ht="14.1" customHeight="1">
      <c r="A32" s="1292" t="s">
        <v>295</v>
      </c>
      <c r="B32" s="2288" t="s">
        <v>296</v>
      </c>
      <c r="C32" s="1299"/>
      <c r="D32" s="1292" t="s">
        <v>297</v>
      </c>
      <c r="E32" s="2291">
        <v>2021</v>
      </c>
      <c r="F32" s="1296"/>
      <c r="G32" s="1296"/>
      <c r="H32" s="1296"/>
    </row>
    <row r="33" spans="1:8" ht="27.65" customHeight="1">
      <c r="A33" s="1293" t="s">
        <v>298</v>
      </c>
      <c r="B33" s="1348" t="s">
        <v>299</v>
      </c>
      <c r="C33" s="1300"/>
      <c r="D33" s="1293" t="s">
        <v>300</v>
      </c>
      <c r="E33" s="1348" t="s">
        <v>299</v>
      </c>
      <c r="F33" s="1301"/>
      <c r="G33" s="1296"/>
      <c r="H33" s="1296"/>
    </row>
    <row r="34" spans="1:8" ht="14.1" customHeight="1">
      <c r="A34" s="1291" t="s">
        <v>302</v>
      </c>
      <c r="B34" s="1348" t="s">
        <v>301</v>
      </c>
      <c r="C34" s="1485"/>
      <c r="D34" s="1477"/>
      <c r="E34" s="1477"/>
      <c r="F34" s="1477"/>
      <c r="G34" s="1477"/>
      <c r="H34" s="1477"/>
    </row>
    <row r="35" spans="1:8" ht="14.1" customHeight="1">
      <c r="A35" s="1291" t="s">
        <v>303</v>
      </c>
      <c r="B35" s="1348" t="s">
        <v>301</v>
      </c>
      <c r="C35" s="1301"/>
      <c r="D35" s="1302" t="s">
        <v>297</v>
      </c>
      <c r="E35" s="2292"/>
      <c r="F35" s="1296"/>
      <c r="G35" s="1296"/>
      <c r="H35" s="1296"/>
    </row>
    <row r="36" spans="1:8" ht="41.1" customHeight="1">
      <c r="A36" s="1291" t="s">
        <v>304</v>
      </c>
      <c r="B36" s="2289"/>
      <c r="C36" s="1486" t="s">
        <v>305</v>
      </c>
      <c r="D36" s="1471"/>
      <c r="E36" s="1472"/>
      <c r="F36" s="2285"/>
      <c r="G36" s="2257"/>
      <c r="H36" s="2258"/>
    </row>
    <row r="37" spans="1:8" ht="14.1" customHeight="1">
      <c r="A37" s="1303" t="s">
        <v>306</v>
      </c>
      <c r="B37" s="2284"/>
      <c r="C37" s="2257"/>
      <c r="D37" s="2258"/>
      <c r="E37" s="2284"/>
      <c r="F37" s="2257"/>
      <c r="G37" s="2257"/>
      <c r="H37" s="2258"/>
    </row>
    <row r="38" spans="1:8" ht="14.1" customHeight="1">
      <c r="A38" s="1291" t="s">
        <v>282</v>
      </c>
      <c r="B38" s="2290"/>
      <c r="C38" s="2275"/>
      <c r="D38" s="2273"/>
      <c r="E38" s="2290"/>
      <c r="F38" s="2275"/>
      <c r="G38" s="2275"/>
      <c r="H38" s="2273"/>
    </row>
    <row r="39" spans="1:8">
      <c r="A39" s="1483" t="s">
        <v>307</v>
      </c>
      <c r="B39" s="1471"/>
      <c r="C39" s="1471"/>
      <c r="D39" s="1471"/>
      <c r="E39" s="1471"/>
      <c r="F39" s="1471"/>
      <c r="G39" s="1471"/>
      <c r="H39" s="1472"/>
    </row>
    <row r="40" spans="1:8" ht="26.7" customHeight="1">
      <c r="A40" s="1303" t="s">
        <v>308</v>
      </c>
      <c r="B40" s="2293" t="s">
        <v>309</v>
      </c>
      <c r="C40" s="2285"/>
      <c r="D40" s="2258"/>
      <c r="E40" s="1303" t="s">
        <v>310</v>
      </c>
      <c r="F40" s="2294">
        <v>350000</v>
      </c>
      <c r="G40" s="1487"/>
      <c r="H40" s="1488"/>
    </row>
    <row r="41" spans="1:8" ht="14.1" customHeight="1">
      <c r="A41" s="1291" t="s">
        <v>311</v>
      </c>
      <c r="B41" s="2295">
        <v>0</v>
      </c>
      <c r="C41" s="2258"/>
      <c r="D41" s="1291" t="s">
        <v>312</v>
      </c>
      <c r="E41" s="2295"/>
      <c r="F41" s="2258"/>
      <c r="G41" s="1296"/>
      <c r="H41" s="1296"/>
    </row>
    <row r="42" spans="1:8" ht="26.7" customHeight="1">
      <c r="A42" s="1303" t="s">
        <v>313</v>
      </c>
      <c r="B42" s="1348" t="s">
        <v>309</v>
      </c>
      <c r="C42" s="2285"/>
      <c r="D42" s="2258"/>
      <c r="E42" s="1303" t="s">
        <v>310</v>
      </c>
      <c r="F42" s="2294"/>
      <c r="G42" s="1487"/>
      <c r="H42" s="1488"/>
    </row>
    <row r="43" spans="1:8" ht="14.1" customHeight="1">
      <c r="A43" s="1303" t="s">
        <v>311</v>
      </c>
      <c r="B43" s="2295"/>
      <c r="C43" s="2258"/>
      <c r="D43" s="1294" t="s">
        <v>312</v>
      </c>
      <c r="E43" s="2296"/>
      <c r="F43" s="2258"/>
      <c r="G43" s="1296"/>
      <c r="H43" s="1296"/>
    </row>
    <row r="44" spans="1:8">
      <c r="A44" s="1295"/>
      <c r="B44" s="1295"/>
      <c r="C44" s="1295"/>
      <c r="D44" s="1295"/>
      <c r="E44" s="1295"/>
      <c r="F44" s="1295"/>
      <c r="G44" s="1296"/>
      <c r="H44" s="1296"/>
    </row>
    <row r="45" spans="1:8">
      <c r="A45" s="1489" t="s">
        <v>314</v>
      </c>
      <c r="B45" s="1481"/>
      <c r="C45" s="1481"/>
      <c r="D45" s="1481"/>
      <c r="E45" s="1481"/>
      <c r="F45" s="1481"/>
      <c r="G45" s="1481"/>
      <c r="H45" s="1482"/>
    </row>
    <row r="46" spans="1:8" ht="26.7" customHeight="1">
      <c r="A46" s="1305" t="s">
        <v>315</v>
      </c>
      <c r="B46" s="1305" t="s">
        <v>316</v>
      </c>
      <c r="C46" s="1305" t="s">
        <v>317</v>
      </c>
      <c r="D46" s="1306" t="s">
        <v>318</v>
      </c>
      <c r="E46" s="1490" t="s">
        <v>282</v>
      </c>
      <c r="F46" s="1471"/>
      <c r="G46" s="1471"/>
      <c r="H46" s="1472"/>
    </row>
    <row r="47" spans="1:8" ht="14.1" customHeight="1">
      <c r="A47" s="2277"/>
      <c r="B47" s="2277"/>
      <c r="C47" s="2277"/>
      <c r="D47" s="1304"/>
      <c r="E47" s="2284"/>
      <c r="F47" s="2257"/>
      <c r="G47" s="2257"/>
      <c r="H47" s="2258"/>
    </row>
    <row r="48" spans="1:8" ht="14.1" customHeight="1">
      <c r="A48" s="2277" t="s">
        <v>261</v>
      </c>
      <c r="B48" s="2277" t="s">
        <v>154</v>
      </c>
      <c r="C48" s="2277" t="s">
        <v>319</v>
      </c>
      <c r="D48" s="2298">
        <v>100000</v>
      </c>
      <c r="E48" s="2299"/>
      <c r="F48" s="2257"/>
      <c r="G48" s="2257"/>
      <c r="H48" s="2257"/>
    </row>
    <row r="49" spans="1:8" ht="14.1" customHeight="1">
      <c r="A49" s="2277"/>
      <c r="B49" s="2277"/>
      <c r="C49" s="2277"/>
      <c r="D49" s="2298"/>
      <c r="E49" s="2300"/>
      <c r="F49" s="2275"/>
      <c r="G49" s="2275"/>
      <c r="H49" s="2275"/>
    </row>
    <row r="50" spans="1:8" ht="14.1" customHeight="1">
      <c r="A50" s="2277"/>
      <c r="B50" s="2277"/>
      <c r="C50" s="2277"/>
      <c r="D50" s="2298"/>
      <c r="E50" s="2300"/>
      <c r="F50" s="2275"/>
      <c r="G50" s="2275"/>
      <c r="H50" s="2275"/>
    </row>
    <row r="51" spans="1:8" ht="14.1" customHeight="1">
      <c r="A51" s="2277"/>
      <c r="B51" s="2277"/>
      <c r="C51" s="2277"/>
      <c r="D51" s="2298"/>
      <c r="E51" s="2300"/>
      <c r="F51" s="2275"/>
      <c r="G51" s="2275"/>
      <c r="H51" s="2275"/>
    </row>
    <row r="52" spans="1:8" ht="14.1" customHeight="1">
      <c r="A52" s="2277"/>
      <c r="B52" s="2277"/>
      <c r="C52" s="2277"/>
      <c r="D52" s="2298"/>
      <c r="E52" s="2300"/>
      <c r="F52" s="2275"/>
      <c r="G52" s="2275"/>
      <c r="H52" s="2275"/>
    </row>
    <row r="53" spans="1:8" ht="14.1" customHeight="1">
      <c r="A53" s="2277"/>
      <c r="B53" s="2277"/>
      <c r="C53" s="2277"/>
      <c r="D53" s="2298"/>
      <c r="E53" s="2300"/>
      <c r="F53" s="2275"/>
      <c r="G53" s="2275"/>
      <c r="H53" s="2275"/>
    </row>
    <row r="54" spans="1:8" ht="14.1" customHeight="1">
      <c r="A54" s="2277"/>
      <c r="B54" s="2277"/>
      <c r="C54" s="2277"/>
      <c r="D54" s="2298"/>
      <c r="E54" s="2300"/>
      <c r="F54" s="2275"/>
      <c r="G54" s="2275"/>
      <c r="H54" s="2275"/>
    </row>
    <row r="55" spans="1:8" ht="14.1" customHeight="1">
      <c r="A55" s="2277"/>
      <c r="B55" s="2277"/>
      <c r="C55" s="2277"/>
      <c r="D55" s="2298"/>
      <c r="E55" s="2300"/>
      <c r="F55" s="2275"/>
      <c r="G55" s="2275"/>
      <c r="H55" s="2275"/>
    </row>
    <row r="56" spans="1:8" ht="14.1" customHeight="1">
      <c r="A56" s="2277"/>
      <c r="B56" s="2277"/>
      <c r="C56" s="2277"/>
      <c r="D56" s="2298"/>
      <c r="E56" s="2300"/>
      <c r="F56" s="2275"/>
      <c r="G56" s="2275"/>
      <c r="H56" s="2275"/>
    </row>
    <row r="57" spans="1:8" ht="16.05" customHeight="1">
      <c r="A57" s="1307" t="s">
        <v>320</v>
      </c>
      <c r="B57" s="2297"/>
      <c r="C57" s="2297"/>
      <c r="D57" s="1308">
        <f>SUM(D47:D56)</f>
        <v>100000</v>
      </c>
      <c r="E57" s="2301"/>
      <c r="F57" s="2257"/>
      <c r="G57" s="2257"/>
      <c r="H57" s="2257"/>
    </row>
    <row r="58" spans="1:8">
      <c r="A58" s="1295"/>
      <c r="B58" s="1295"/>
      <c r="C58" s="1295"/>
      <c r="D58" s="1295"/>
      <c r="E58" s="1295"/>
      <c r="F58" s="1295"/>
      <c r="G58" s="1295"/>
      <c r="H58" s="1295"/>
    </row>
    <row r="59" spans="1:8">
      <c r="A59" s="1491" t="s">
        <v>321</v>
      </c>
      <c r="B59" s="1481"/>
      <c r="C59" s="1481"/>
      <c r="D59" s="1481"/>
      <c r="E59" s="1481"/>
      <c r="F59" s="1481"/>
      <c r="G59" s="1481"/>
      <c r="H59" s="1482"/>
    </row>
    <row r="60" spans="1:8" ht="26.2" customHeight="1">
      <c r="A60" s="1309" t="s">
        <v>322</v>
      </c>
      <c r="B60" s="1310" t="s">
        <v>316</v>
      </c>
      <c r="C60" s="1310" t="s">
        <v>323</v>
      </c>
      <c r="D60" s="1492"/>
      <c r="E60" s="1481"/>
      <c r="F60" s="1481"/>
      <c r="G60" s="1481"/>
      <c r="H60" s="1482"/>
    </row>
    <row r="61" spans="1:8" ht="14.1" customHeight="1">
      <c r="A61" s="2302" t="s">
        <v>324</v>
      </c>
      <c r="B61" s="2302" t="s">
        <v>154</v>
      </c>
      <c r="C61" s="2303">
        <v>100000</v>
      </c>
      <c r="D61" s="2305"/>
      <c r="E61" s="2306"/>
      <c r="F61" s="2306"/>
      <c r="G61" s="2306"/>
      <c r="H61" s="2307"/>
    </row>
    <row r="62" spans="1:8" ht="14.1" customHeight="1">
      <c r="A62" s="2302" t="s">
        <v>324</v>
      </c>
      <c r="B62" s="2302" t="s">
        <v>154</v>
      </c>
      <c r="C62" s="2303">
        <v>0</v>
      </c>
      <c r="D62" s="2308"/>
      <c r="E62" s="2309"/>
      <c r="F62" s="2309"/>
      <c r="G62" s="2309"/>
      <c r="H62" s="2309"/>
    </row>
    <row r="63" spans="1:8" ht="14.1" customHeight="1">
      <c r="A63" s="2302" t="s">
        <v>324</v>
      </c>
      <c r="B63" s="2302" t="s">
        <v>154</v>
      </c>
      <c r="C63" s="2303">
        <v>0</v>
      </c>
      <c r="D63" s="2310"/>
      <c r="E63" s="2306"/>
      <c r="F63" s="2306"/>
      <c r="G63" s="2306"/>
      <c r="H63" s="2307"/>
    </row>
    <row r="64" spans="1:8" ht="14.1" customHeight="1">
      <c r="A64" s="2302"/>
      <c r="B64" s="2302"/>
      <c r="C64" s="2303"/>
      <c r="D64" s="2310"/>
      <c r="E64" s="2306"/>
      <c r="F64" s="2306"/>
      <c r="G64" s="2306"/>
      <c r="H64" s="2307"/>
    </row>
    <row r="65" spans="1:8" ht="14.1" customHeight="1">
      <c r="A65" s="2302"/>
      <c r="B65" s="2302"/>
      <c r="C65" s="2303"/>
      <c r="D65" s="2310"/>
      <c r="E65" s="2306"/>
      <c r="F65" s="2306"/>
      <c r="G65" s="2306"/>
      <c r="H65" s="2307"/>
    </row>
    <row r="66" spans="1:8" ht="14.1" customHeight="1">
      <c r="A66" s="2302"/>
      <c r="B66" s="2302"/>
      <c r="C66" s="2303"/>
      <c r="D66" s="2311"/>
      <c r="E66" s="2312"/>
      <c r="F66" s="2312"/>
      <c r="G66" s="2312"/>
      <c r="H66" s="2313"/>
    </row>
    <row r="67" spans="1:8" ht="14.1" customHeight="1">
      <c r="A67" s="2302"/>
      <c r="B67" s="2302"/>
      <c r="C67" s="2304"/>
      <c r="D67" s="2314"/>
      <c r="E67" s="2296"/>
      <c r="F67" s="2296"/>
      <c r="G67" s="2296"/>
      <c r="H67" s="2296"/>
    </row>
    <row r="68" spans="1:8" ht="14.1" customHeight="1">
      <c r="A68" s="2302"/>
      <c r="B68" s="2302"/>
      <c r="C68" s="2303"/>
      <c r="D68" s="2315"/>
      <c r="E68" s="2316"/>
      <c r="F68" s="2316"/>
      <c r="G68" s="2316"/>
      <c r="H68" s="2316"/>
    </row>
    <row r="69" spans="1:8" ht="14.1" customHeight="1">
      <c r="A69" s="2302"/>
      <c r="B69" s="1311" t="s">
        <v>144</v>
      </c>
      <c r="C69" s="1312">
        <f>SUM(C59:C68)</f>
        <v>100000</v>
      </c>
      <c r="D69" s="2310"/>
      <c r="E69" s="2306"/>
      <c r="F69" s="2306"/>
      <c r="G69" s="2306"/>
      <c r="H69" s="2307"/>
    </row>
    <row r="70" spans="1:8" ht="14.1" customHeight="1">
      <c r="A70" s="1313" t="s">
        <v>325</v>
      </c>
      <c r="B70" s="1314" t="s">
        <v>316</v>
      </c>
      <c r="C70" s="1314" t="s">
        <v>323</v>
      </c>
      <c r="D70" s="1315" t="s">
        <v>326</v>
      </c>
      <c r="E70" s="1493" t="s">
        <v>327</v>
      </c>
      <c r="F70" s="1474"/>
      <c r="G70" s="1494" t="s">
        <v>328</v>
      </c>
      <c r="H70" s="1474"/>
    </row>
    <row r="71" spans="1:8" ht="14.1" customHeight="1">
      <c r="A71" s="2277"/>
      <c r="B71" s="2277"/>
      <c r="C71" s="2298">
        <v>50000</v>
      </c>
      <c r="D71" s="2277"/>
      <c r="E71" s="2295"/>
      <c r="F71" s="2258"/>
      <c r="G71" s="2314"/>
      <c r="H71" s="2258"/>
    </row>
    <row r="72" spans="1:8" ht="14.1" customHeight="1">
      <c r="A72" s="2277"/>
      <c r="B72" s="2277"/>
      <c r="C72" s="2298">
        <v>0</v>
      </c>
      <c r="D72" s="2277"/>
      <c r="E72" s="2295"/>
      <c r="F72" s="2258"/>
      <c r="G72" s="2314"/>
      <c r="H72" s="2258"/>
    </row>
    <row r="73" spans="1:8" ht="14.1" customHeight="1">
      <c r="A73" s="2277"/>
      <c r="B73" s="2277"/>
      <c r="C73" s="2298"/>
      <c r="D73" s="2277"/>
      <c r="E73" s="2295"/>
      <c r="F73" s="2258"/>
      <c r="G73" s="2314"/>
      <c r="H73" s="2258"/>
    </row>
    <row r="74" spans="1:8" ht="14.1" customHeight="1">
      <c r="A74" s="2277"/>
      <c r="B74" s="2277"/>
      <c r="C74" s="2298"/>
      <c r="D74" s="2277"/>
      <c r="E74" s="2295"/>
      <c r="F74" s="2258"/>
      <c r="G74" s="2314"/>
      <c r="H74" s="2258"/>
    </row>
    <row r="75" spans="1:8" ht="14.1" customHeight="1">
      <c r="A75" s="2277"/>
      <c r="B75" s="2277"/>
      <c r="C75" s="2298"/>
      <c r="D75" s="2277"/>
      <c r="E75" s="2295"/>
      <c r="F75" s="2258"/>
      <c r="G75" s="2314"/>
      <c r="H75" s="2258"/>
    </row>
    <row r="76" spans="1:8" ht="14.1" customHeight="1">
      <c r="A76" s="2277"/>
      <c r="B76" s="1298" t="s">
        <v>144</v>
      </c>
      <c r="C76" s="1452">
        <f>C71+C72+C73+C74+C75</f>
        <v>50000</v>
      </c>
      <c r="D76" s="2277"/>
      <c r="E76" s="2295"/>
      <c r="F76" s="2258"/>
      <c r="G76" s="2314"/>
      <c r="H76" s="2258"/>
    </row>
    <row r="77" spans="1:8">
      <c r="A77" s="1480" t="s">
        <v>329</v>
      </c>
      <c r="B77" s="1481"/>
      <c r="C77" s="1481"/>
      <c r="D77" s="1481"/>
      <c r="E77" s="1481"/>
      <c r="F77" s="1481"/>
      <c r="G77" s="1481"/>
      <c r="H77" s="1482"/>
    </row>
    <row r="78" spans="1:8" ht="26.7" customHeight="1">
      <c r="A78" s="1316" t="s">
        <v>330</v>
      </c>
      <c r="B78" s="1316" t="s">
        <v>331</v>
      </c>
      <c r="C78" s="1470" t="s">
        <v>1077</v>
      </c>
      <c r="D78" s="1316" t="s">
        <v>332</v>
      </c>
      <c r="E78" s="1495" t="s">
        <v>1071</v>
      </c>
      <c r="F78" s="1474"/>
      <c r="G78" s="1474"/>
      <c r="H78" s="1474"/>
    </row>
    <row r="79" spans="1:8" ht="14.1" customHeight="1">
      <c r="A79" s="2318" t="s">
        <v>148</v>
      </c>
      <c r="B79" s="2320" t="s">
        <v>53</v>
      </c>
      <c r="C79" s="2320">
        <v>2083.33</v>
      </c>
      <c r="D79" s="2322">
        <f>C79*12</f>
        <v>24999.96</v>
      </c>
      <c r="E79" s="2323"/>
      <c r="F79" s="2296"/>
      <c r="G79" s="2296"/>
      <c r="H79" s="2296"/>
    </row>
    <row r="80" spans="1:8" ht="14.1" customHeight="1">
      <c r="A80" s="2319" t="s">
        <v>333</v>
      </c>
      <c r="B80" s="2321" t="s">
        <v>53</v>
      </c>
      <c r="C80" s="2321">
        <v>2670.07</v>
      </c>
      <c r="D80" s="2324">
        <f>C80*12</f>
        <v>32040.840000000004</v>
      </c>
      <c r="E80" s="2323"/>
      <c r="F80" s="2296"/>
      <c r="G80" s="2296"/>
      <c r="H80" s="2296"/>
    </row>
    <row r="81" spans="1:10" ht="14.1" customHeight="1">
      <c r="A81" s="2302" t="s">
        <v>333</v>
      </c>
      <c r="B81" s="2302" t="s">
        <v>19</v>
      </c>
      <c r="C81" s="2302"/>
      <c r="D81" s="2304">
        <v>53885.04</v>
      </c>
      <c r="E81" s="2323" t="s">
        <v>334</v>
      </c>
      <c r="F81" s="2296"/>
      <c r="G81" s="2296"/>
      <c r="H81" s="2296"/>
    </row>
    <row r="82" spans="1:10" ht="14.1" customHeight="1">
      <c r="A82" s="2302" t="s">
        <v>333</v>
      </c>
      <c r="B82" s="2302" t="s">
        <v>19</v>
      </c>
      <c r="C82" s="2302"/>
      <c r="D82" s="2304">
        <v>12888</v>
      </c>
      <c r="E82" s="2325" t="s">
        <v>1062</v>
      </c>
      <c r="F82" s="2326"/>
      <c r="G82" s="2326"/>
      <c r="H82" s="2326"/>
    </row>
    <row r="83" spans="1:10" ht="14.1" customHeight="1">
      <c r="A83" s="2302"/>
      <c r="B83" s="2302"/>
      <c r="C83" s="2302"/>
      <c r="D83" s="2304"/>
      <c r="E83" s="2323"/>
      <c r="F83" s="2296"/>
      <c r="G83" s="2296"/>
      <c r="H83" s="2296"/>
      <c r="I83" s="2331"/>
      <c r="J83" s="2331"/>
    </row>
    <row r="84" spans="1:10" ht="14.1" customHeight="1">
      <c r="A84" s="2302"/>
      <c r="B84" s="2302"/>
      <c r="C84" s="2302"/>
      <c r="D84" s="2304"/>
      <c r="E84" s="2332"/>
      <c r="F84" s="2332"/>
      <c r="G84" s="2332"/>
      <c r="H84" s="2332"/>
    </row>
    <row r="85" spans="1:10" ht="14.1" customHeight="1">
      <c r="A85" s="2302"/>
      <c r="B85" s="2302"/>
      <c r="C85" s="2302"/>
      <c r="D85" s="2304"/>
      <c r="E85" s="2323"/>
      <c r="F85" s="2296"/>
      <c r="G85" s="2296"/>
      <c r="H85" s="2296"/>
    </row>
    <row r="86" spans="1:10" ht="14.1" customHeight="1">
      <c r="A86" s="2302"/>
      <c r="B86" s="2302"/>
      <c r="C86" s="2302"/>
      <c r="D86" s="2304"/>
      <c r="E86" s="2336"/>
      <c r="F86" s="2296"/>
      <c r="G86" s="2296"/>
      <c r="H86" s="2296"/>
    </row>
    <row r="87" spans="1:10" ht="26.7" customHeight="1">
      <c r="C87" s="1317" t="s">
        <v>335</v>
      </c>
      <c r="D87" s="2328">
        <f>SUM(D79:D86)</f>
        <v>123813.84</v>
      </c>
      <c r="E87" s="2329">
        <f>D87/12</f>
        <v>10317.82</v>
      </c>
      <c r="F87" s="2327" t="s">
        <v>519</v>
      </c>
      <c r="G87" s="2335"/>
      <c r="H87" s="2335"/>
    </row>
    <row r="89" spans="1:10">
      <c r="A89" s="1480" t="s">
        <v>336</v>
      </c>
      <c r="B89" s="1481"/>
      <c r="C89" s="1481"/>
      <c r="D89" s="1481"/>
      <c r="E89" s="1481"/>
      <c r="F89" s="1474"/>
      <c r="G89" s="1474"/>
      <c r="H89" s="1475"/>
    </row>
    <row r="90" spans="1:10" ht="14.1" customHeight="1">
      <c r="A90" s="1462" t="s">
        <v>1067</v>
      </c>
      <c r="B90" s="2330">
        <v>8577.2199999999993</v>
      </c>
      <c r="C90" s="1463">
        <f>B90*12</f>
        <v>102926.63999999998</v>
      </c>
      <c r="D90" s="2337"/>
      <c r="E90" s="2306"/>
      <c r="F90" s="2340"/>
      <c r="G90" s="2341"/>
      <c r="H90" s="2342"/>
      <c r="I90" s="2317"/>
    </row>
    <row r="91" spans="1:10" ht="14.1" customHeight="1">
      <c r="A91" s="1462" t="s">
        <v>1068</v>
      </c>
      <c r="B91" s="2330">
        <v>10000</v>
      </c>
      <c r="C91" s="1463">
        <f>B91*12</f>
        <v>120000</v>
      </c>
      <c r="D91" s="2338"/>
      <c r="E91" s="2339"/>
      <c r="F91" s="2343"/>
      <c r="G91" s="2316"/>
      <c r="H91" s="2316"/>
    </row>
    <row r="92" spans="1:10" ht="14.1" customHeight="1">
      <c r="A92" s="1319" t="s">
        <v>282</v>
      </c>
      <c r="B92" s="2337"/>
      <c r="C92" s="2312"/>
      <c r="D92" s="2312"/>
      <c r="E92" s="2312"/>
      <c r="F92" s="2312"/>
      <c r="G92" s="2312"/>
      <c r="H92" s="2313"/>
    </row>
    <row r="93" spans="1:10" ht="14.1" customHeight="1">
      <c r="A93" s="1320"/>
      <c r="B93" s="2344"/>
      <c r="C93" s="2253"/>
      <c r="D93" s="2253"/>
      <c r="E93" s="2253"/>
      <c r="F93" s="2253"/>
      <c r="G93" s="2253"/>
      <c r="H93" s="2334"/>
    </row>
    <row r="94" spans="1:10" ht="14.1" customHeight="1">
      <c r="A94" s="1320"/>
      <c r="B94" s="2345"/>
      <c r="C94" s="2316"/>
      <c r="D94" s="2316"/>
      <c r="E94" s="2316"/>
      <c r="F94" s="2316"/>
      <c r="G94" s="2316"/>
      <c r="H94" s="2333"/>
    </row>
    <row r="95" spans="1:10" ht="17.7" customHeight="1">
      <c r="A95" s="1497" t="s">
        <v>337</v>
      </c>
      <c r="B95" s="1481"/>
      <c r="C95" s="1481"/>
      <c r="D95" s="1481"/>
      <c r="E95" s="1481"/>
      <c r="F95" s="1481"/>
      <c r="G95" s="1481"/>
      <c r="H95" s="1482"/>
    </row>
    <row r="96" spans="1:10" ht="16.05" customHeight="1">
      <c r="A96" s="1321" t="s">
        <v>338</v>
      </c>
      <c r="B96" s="1321" t="s">
        <v>339</v>
      </c>
      <c r="C96" s="1296"/>
      <c r="D96" s="1296"/>
      <c r="E96" s="1322" t="s">
        <v>282</v>
      </c>
      <c r="F96" s="1296"/>
      <c r="G96" s="1296"/>
      <c r="H96" s="1296"/>
    </row>
    <row r="97" spans="1:8" ht="27.65" customHeight="1">
      <c r="A97" s="1311" t="s">
        <v>340</v>
      </c>
      <c r="B97" s="2346" t="s">
        <v>341</v>
      </c>
      <c r="C97" s="2284"/>
      <c r="D97" s="2296"/>
      <c r="E97" s="2296"/>
      <c r="F97" s="2296"/>
      <c r="G97" s="2296"/>
      <c r="H97" s="2296"/>
    </row>
    <row r="98" spans="1:8" ht="14.1" customHeight="1">
      <c r="A98" s="1311" t="s">
        <v>342</v>
      </c>
      <c r="B98" s="2346" t="s">
        <v>341</v>
      </c>
      <c r="C98" s="2284"/>
      <c r="D98" s="2296"/>
      <c r="E98" s="2296"/>
      <c r="F98" s="2296"/>
      <c r="G98" s="2296"/>
      <c r="H98" s="2296"/>
    </row>
    <row r="99" spans="1:8" ht="27.65" customHeight="1">
      <c r="A99" s="1311" t="s">
        <v>343</v>
      </c>
      <c r="B99" s="2346" t="s">
        <v>344</v>
      </c>
      <c r="C99" s="2284"/>
      <c r="D99" s="2296"/>
      <c r="E99" s="2296"/>
      <c r="F99" s="2296"/>
      <c r="G99" s="2296"/>
      <c r="H99" s="2296"/>
    </row>
    <row r="100" spans="1:8" ht="27.65" customHeight="1">
      <c r="A100" s="1311" t="s">
        <v>345</v>
      </c>
      <c r="B100" s="2346" t="s">
        <v>346</v>
      </c>
      <c r="C100" s="2284"/>
      <c r="D100" s="2296"/>
      <c r="E100" s="2296"/>
      <c r="F100" s="2296"/>
      <c r="G100" s="2296"/>
      <c r="H100" s="2296"/>
    </row>
    <row r="101" spans="1:8" ht="27.65" customHeight="1">
      <c r="A101" s="1311" t="s">
        <v>347</v>
      </c>
      <c r="B101" s="2346" t="s">
        <v>344</v>
      </c>
      <c r="C101" s="2284"/>
      <c r="D101" s="2296"/>
      <c r="E101" s="2296"/>
      <c r="F101" s="2296"/>
      <c r="G101" s="2296"/>
      <c r="H101" s="2296"/>
    </row>
    <row r="102" spans="1:8" ht="27.65" customHeight="1">
      <c r="A102" s="1311" t="s">
        <v>348</v>
      </c>
      <c r="B102" s="2346" t="s">
        <v>346</v>
      </c>
      <c r="C102" s="2284"/>
      <c r="D102" s="2296"/>
      <c r="E102" s="2296"/>
      <c r="F102" s="2296"/>
      <c r="G102" s="2296"/>
      <c r="H102" s="2296"/>
    </row>
    <row r="103" spans="1:8" ht="27.65" customHeight="1">
      <c r="A103" s="1311" t="s">
        <v>349</v>
      </c>
      <c r="B103" s="2346" t="s">
        <v>346</v>
      </c>
      <c r="C103" s="2284"/>
      <c r="D103" s="2296"/>
      <c r="E103" s="2296"/>
      <c r="F103" s="2296"/>
      <c r="G103" s="2296"/>
      <c r="H103" s="2296"/>
    </row>
    <row r="104" spans="1:8">
      <c r="A104" s="1296"/>
      <c r="B104" s="1296"/>
      <c r="C104" s="1296"/>
      <c r="D104" s="1296"/>
      <c r="E104" s="1296"/>
      <c r="F104" s="1296"/>
      <c r="G104" s="1296"/>
      <c r="H104" s="1296"/>
    </row>
    <row r="105" spans="1:8">
      <c r="A105" s="1480" t="s">
        <v>350</v>
      </c>
      <c r="B105" s="1481"/>
      <c r="C105" s="1481"/>
      <c r="D105" s="1481"/>
      <c r="E105" s="1481"/>
      <c r="F105" s="1481"/>
      <c r="G105" s="1481"/>
      <c r="H105" s="1482"/>
    </row>
    <row r="106" spans="1:8" ht="27.65" customHeight="1">
      <c r="A106" s="1291" t="s">
        <v>351</v>
      </c>
      <c r="B106" s="2337"/>
      <c r="C106" s="2312"/>
      <c r="D106" s="2312"/>
      <c r="E106" s="2312"/>
      <c r="F106" s="2312"/>
      <c r="G106" s="2312"/>
      <c r="H106" s="2313"/>
    </row>
    <row r="107" spans="1:8">
      <c r="A107" s="1323"/>
      <c r="B107" s="2344"/>
      <c r="C107" s="2253"/>
      <c r="D107" s="2253"/>
      <c r="E107" s="2253"/>
      <c r="F107" s="2253"/>
      <c r="G107" s="2253"/>
      <c r="H107" s="2334"/>
    </row>
    <row r="108" spans="1:8">
      <c r="A108" s="1323"/>
      <c r="B108" s="2344"/>
      <c r="C108" s="2253"/>
      <c r="D108" s="2253"/>
      <c r="E108" s="2253"/>
      <c r="F108" s="2253"/>
      <c r="G108" s="2253"/>
      <c r="H108" s="2334"/>
    </row>
    <row r="109" spans="1:8">
      <c r="A109" s="1323"/>
      <c r="B109" s="2344"/>
      <c r="C109" s="2253"/>
      <c r="D109" s="2253"/>
      <c r="E109" s="2253"/>
      <c r="F109" s="2253"/>
      <c r="G109" s="2253"/>
      <c r="H109" s="2334"/>
    </row>
    <row r="110" spans="1:8">
      <c r="A110" s="1323"/>
      <c r="B110" s="2344"/>
      <c r="C110" s="2253"/>
      <c r="D110" s="2253"/>
      <c r="E110" s="2253"/>
      <c r="F110" s="2253"/>
      <c r="G110" s="2253"/>
      <c r="H110" s="2334"/>
    </row>
    <row r="111" spans="1:8">
      <c r="A111" s="1323"/>
      <c r="B111" s="2345"/>
      <c r="C111" s="2316"/>
      <c r="D111" s="2316"/>
      <c r="E111" s="2316"/>
      <c r="F111" s="2316"/>
      <c r="G111" s="2316"/>
      <c r="H111" s="2333"/>
    </row>
    <row r="112" spans="1:8" ht="14.1" customHeight="1">
      <c r="A112" s="1291" t="s">
        <v>352</v>
      </c>
      <c r="B112" s="2347"/>
      <c r="C112" s="2312"/>
      <c r="D112" s="2312"/>
      <c r="E112" s="2312"/>
      <c r="F112" s="2312"/>
      <c r="G112" s="2312"/>
      <c r="H112" s="2313"/>
    </row>
    <row r="113" spans="1:8">
      <c r="A113" s="1323"/>
      <c r="B113" s="2344"/>
      <c r="C113" s="2253"/>
      <c r="D113" s="2253"/>
      <c r="E113" s="2253"/>
      <c r="F113" s="2253"/>
      <c r="G113" s="2253"/>
      <c r="H113" s="2334"/>
    </row>
    <row r="114" spans="1:8">
      <c r="A114" s="1323"/>
      <c r="B114" s="2344"/>
      <c r="C114" s="2253"/>
      <c r="D114" s="2253"/>
      <c r="E114" s="2253"/>
      <c r="F114" s="2253"/>
      <c r="G114" s="2253"/>
      <c r="H114" s="2334"/>
    </row>
    <row r="115" spans="1:8">
      <c r="A115" s="1323"/>
      <c r="B115" s="2344"/>
      <c r="C115" s="2253"/>
      <c r="D115" s="2253"/>
      <c r="E115" s="2253"/>
      <c r="F115" s="2253"/>
      <c r="G115" s="2253"/>
      <c r="H115" s="2334"/>
    </row>
    <row r="116" spans="1:8">
      <c r="A116" s="1323"/>
      <c r="B116" s="2344"/>
      <c r="C116" s="2253"/>
      <c r="D116" s="2253"/>
      <c r="E116" s="2253"/>
      <c r="F116" s="2253"/>
      <c r="G116" s="2253"/>
      <c r="H116" s="2334"/>
    </row>
    <row r="117" spans="1:8">
      <c r="A117" s="1323"/>
      <c r="B117" s="2345"/>
      <c r="C117" s="2316"/>
      <c r="D117" s="2316"/>
      <c r="E117" s="2316"/>
      <c r="F117" s="2316"/>
      <c r="G117" s="2316"/>
      <c r="H117" s="2333"/>
    </row>
  </sheetData>
  <sheetProtection algorithmName="SHA-512" hashValue="RM+Goq9ZwLbp66effCHAU2xqvy3Xf7v8LMsstCNv6viE4LEmBdPOsfqSZzSFSmrWlL4FpN7l1inm9Lg76volgA==" saltValue="tvohcU5kxJx9NM3TqOXy6A==" spinCount="100000" sheet="1" objects="1" scenarios="1"/>
  <mergeCells count="113">
    <mergeCell ref="D62:H62"/>
    <mergeCell ref="H90:I90"/>
    <mergeCell ref="E84:H84"/>
    <mergeCell ref="G87:H87"/>
    <mergeCell ref="B106:H111"/>
    <mergeCell ref="B112:H117"/>
    <mergeCell ref="B92:H94"/>
    <mergeCell ref="E81:H81"/>
    <mergeCell ref="E82:H82"/>
    <mergeCell ref="E83:H83"/>
    <mergeCell ref="E85:H85"/>
    <mergeCell ref="E86:H86"/>
    <mergeCell ref="A89:H89"/>
    <mergeCell ref="D90:E90"/>
    <mergeCell ref="D91:E91"/>
    <mergeCell ref="F91:H91"/>
    <mergeCell ref="C101:H101"/>
    <mergeCell ref="A95:H95"/>
    <mergeCell ref="C97:H97"/>
    <mergeCell ref="C98:H98"/>
    <mergeCell ref="C99:H99"/>
    <mergeCell ref="C100:H100"/>
    <mergeCell ref="C102:H102"/>
    <mergeCell ref="C103:H103"/>
    <mergeCell ref="A105:H105"/>
    <mergeCell ref="E80:H80"/>
    <mergeCell ref="E73:F73"/>
    <mergeCell ref="G73:H73"/>
    <mergeCell ref="E74:F74"/>
    <mergeCell ref="G74:H74"/>
    <mergeCell ref="E75:F75"/>
    <mergeCell ref="G75:H75"/>
    <mergeCell ref="E76:F76"/>
    <mergeCell ref="G76:H76"/>
    <mergeCell ref="A77:H77"/>
    <mergeCell ref="E78:H78"/>
    <mergeCell ref="E79:H79"/>
    <mergeCell ref="E72:F72"/>
    <mergeCell ref="G72:H72"/>
    <mergeCell ref="D63:H63"/>
    <mergeCell ref="D64:H64"/>
    <mergeCell ref="D65:H65"/>
    <mergeCell ref="D66:H66"/>
    <mergeCell ref="D67:H67"/>
    <mergeCell ref="D68:H68"/>
    <mergeCell ref="D69:H69"/>
    <mergeCell ref="E70:F70"/>
    <mergeCell ref="G70:H70"/>
    <mergeCell ref="E71:F71"/>
    <mergeCell ref="G71:H71"/>
    <mergeCell ref="D61:H61"/>
    <mergeCell ref="E49:H49"/>
    <mergeCell ref="E50:H50"/>
    <mergeCell ref="E51:H51"/>
    <mergeCell ref="E52:H52"/>
    <mergeCell ref="E53:H53"/>
    <mergeCell ref="E54:H54"/>
    <mergeCell ref="E55:H55"/>
    <mergeCell ref="E56:H56"/>
    <mergeCell ref="E57:H57"/>
    <mergeCell ref="A59:H59"/>
    <mergeCell ref="D60:H60"/>
    <mergeCell ref="E48:H48"/>
    <mergeCell ref="A39:H39"/>
    <mergeCell ref="C40:D40"/>
    <mergeCell ref="G40:H40"/>
    <mergeCell ref="B41:C41"/>
    <mergeCell ref="E41:F41"/>
    <mergeCell ref="C42:D42"/>
    <mergeCell ref="G42:H42"/>
    <mergeCell ref="B43:C43"/>
    <mergeCell ref="E43:F43"/>
    <mergeCell ref="A45:H45"/>
    <mergeCell ref="E46:H46"/>
    <mergeCell ref="E47:H47"/>
    <mergeCell ref="B38:D38"/>
    <mergeCell ref="E38:H38"/>
    <mergeCell ref="B25:D25"/>
    <mergeCell ref="F25:H25"/>
    <mergeCell ref="B26:D26"/>
    <mergeCell ref="F26:H26"/>
    <mergeCell ref="A28:H28"/>
    <mergeCell ref="A31:H31"/>
    <mergeCell ref="C34:H34"/>
    <mergeCell ref="C36:E36"/>
    <mergeCell ref="F36:H36"/>
    <mergeCell ref="B37:D37"/>
    <mergeCell ref="E37:H37"/>
    <mergeCell ref="B24:D24"/>
    <mergeCell ref="F24:H24"/>
    <mergeCell ref="B12:C12"/>
    <mergeCell ref="B13:C13"/>
    <mergeCell ref="E13:G13"/>
    <mergeCell ref="B14:H14"/>
    <mergeCell ref="A16:H16"/>
    <mergeCell ref="D17:H17"/>
    <mergeCell ref="D18:H18"/>
    <mergeCell ref="D19:H19"/>
    <mergeCell ref="D20:H20"/>
    <mergeCell ref="D21:H21"/>
    <mergeCell ref="A23:H23"/>
    <mergeCell ref="B11:H11"/>
    <mergeCell ref="A1:H1"/>
    <mergeCell ref="A2:H2"/>
    <mergeCell ref="A3:H3"/>
    <mergeCell ref="B4:D4"/>
    <mergeCell ref="G4:H4"/>
    <mergeCell ref="B5:H5"/>
    <mergeCell ref="B6:C6"/>
    <mergeCell ref="G6:H6"/>
    <mergeCell ref="A8:H8"/>
    <mergeCell ref="B9:C9"/>
    <mergeCell ref="B10:C10"/>
  </mergeCells>
  <dataValidations count="10">
    <dataValidation type="list" allowBlank="1" showInputMessage="1" showErrorMessage="1" sqref="A61:A69" xr:uid="{00000000-0002-0000-1000-000000000000}">
      <formula1>"Savings Acct, Checking, Money Market, CD"</formula1>
    </dataValidation>
    <dataValidation type="list" allowBlank="1" showInputMessage="1" showErrorMessage="1" sqref="B97:B103" xr:uid="{00000000-0002-0000-1000-000001000000}">
      <formula1>"1 Not Concerned, 2 Not Very, 3 Some What, 4 Very Concerned, 5 Most Concerned"</formula1>
    </dataValidation>
    <dataValidation type="list" allowBlank="1" showInputMessage="1" showErrorMessage="1" sqref="B79:B86" xr:uid="{00000000-0002-0000-1000-000002000000}">
      <formula1>"Pension Income, Social Security,Wages,Other"</formula1>
    </dataValidation>
    <dataValidation type="list" allowBlank="1" showInputMessage="1" showErrorMessage="1" sqref="A79:A86" xr:uid="{00000000-0002-0000-1000-000003000000}">
      <formula1>"His,Hers,Both"</formula1>
    </dataValidation>
    <dataValidation type="list" allowBlank="1" showInputMessage="1" showErrorMessage="1" sqref="C47:C56" xr:uid="{00000000-0002-0000-1000-000004000000}">
      <formula1>"Qualified, Non-Qualified"</formula1>
    </dataValidation>
    <dataValidation type="list" allowBlank="1" showInputMessage="1" showErrorMessage="1" sqref="B47:B56 B71:B75 B61:B68" xr:uid="{00000000-0002-0000-1000-000005000000}">
      <formula1>"His,Her,Both"</formula1>
    </dataValidation>
    <dataValidation type="list" allowBlank="1" showInputMessage="1" showErrorMessage="1" sqref="B42" xr:uid="{00000000-0002-0000-1000-000006000000}">
      <formula1>"Owned, Rented"</formula1>
    </dataValidation>
    <dataValidation type="list" allowBlank="1" showInputMessage="1" showErrorMessage="1" sqref="B40" xr:uid="{00000000-0002-0000-1000-000007000000}">
      <formula1>"Owned,Rented"</formula1>
    </dataValidation>
    <dataValidation type="list" allowBlank="1" showInputMessage="1" showErrorMessage="1" sqref="B33:B35 E33 G71:H76" xr:uid="{00000000-0002-0000-1000-000008000000}">
      <formula1>"Yes, No"</formula1>
    </dataValidation>
    <dataValidation type="list" showInputMessage="1" showErrorMessage="1" sqref="B32" xr:uid="{00000000-0002-0000-1000-000009000000}">
      <formula1>"YES, No"</formula1>
    </dataValidation>
  </dataValidations>
  <printOptions horizontalCentered="1" verticalCentered="1"/>
  <pageMargins left="0.25" right="0.25" top="0.25" bottom="0.25" header="0.25" footer="0.25"/>
  <pageSetup scale="39" orientation="portrait" horizontalDpi="1200" verticalDpi="1200"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K36"/>
  <sheetViews>
    <sheetView showGridLines="0" showRowColHeaders="0" workbookViewId="0">
      <selection activeCell="B43" sqref="B43"/>
      <extLst>
        <ext xmlns:xlsdti="http://schemas.microsoft.com/office/spreadsheetml/2023/showDataTypeIcons" uri="{77bfe23e-c014-4d31-8a63-9c772dbf06b6}">
          <xlsdti:showDataTypeIcons visible="0"/>
        </ext>
      </extLst>
    </sheetView>
  </sheetViews>
  <sheetFormatPr defaultRowHeight="12.45"/>
  <cols>
    <col min="1" max="1" width="18" customWidth="1"/>
    <col min="2" max="2" width="36" customWidth="1"/>
    <col min="3" max="3" width="20.25" customWidth="1"/>
    <col min="4" max="4" width="18" customWidth="1"/>
    <col min="6" max="6" width="20.25" customWidth="1"/>
    <col min="7" max="7" width="13.5" customWidth="1"/>
    <col min="8" max="8" width="24.75" customWidth="1"/>
    <col min="9" max="9" width="20.25" customWidth="1"/>
    <col min="11" max="11" width="20.25" customWidth="1"/>
  </cols>
  <sheetData>
    <row r="1" spans="1:11" ht="24.25">
      <c r="A1" s="1656" t="s">
        <v>136</v>
      </c>
      <c r="B1" s="1477"/>
      <c r="C1" s="1477"/>
      <c r="D1" s="1477"/>
      <c r="E1" s="1324"/>
      <c r="F1" s="1347">
        <f ca="1">'Goals and Data'!A2</f>
        <v>46198.742530208336</v>
      </c>
      <c r="K1" s="1324"/>
    </row>
    <row r="3" spans="1:11" ht="17.05">
      <c r="A3" s="1657" t="str">
        <f>IF('Goals and Data'!B10&lt;&gt;"",'Goals and Data'!B9&amp;" and "&amp;'Goals and Data'!B10,'Goals and Data'!B9)</f>
        <v>Mr James and Mary Sample</v>
      </c>
      <c r="B3" s="1477"/>
      <c r="C3" s="1477"/>
      <c r="D3" s="1477"/>
      <c r="E3" s="1477"/>
      <c r="F3" s="1477"/>
      <c r="G3" s="1477"/>
      <c r="H3" s="1477"/>
      <c r="I3" s="1477"/>
    </row>
    <row r="4" spans="1:11">
      <c r="A4" s="1477" t="str">
        <f>'Goals and Data'!B11&amp;" "&amp;'Goals and Data'!B12&amp;" "&amp;'Goals and Data'!E12&amp;" "&amp;'Goals and Data'!G12</f>
        <v>125 Your Plane Huntley IL 60142</v>
      </c>
      <c r="B4" s="1477"/>
      <c r="C4" s="1477"/>
      <c r="D4" s="1477"/>
      <c r="E4" s="1477"/>
      <c r="F4" s="1477"/>
      <c r="G4" s="1477"/>
      <c r="H4" s="1477"/>
      <c r="I4" s="1477"/>
    </row>
    <row r="6" spans="1:11" ht="17.05">
      <c r="A6" s="1655" t="s">
        <v>138</v>
      </c>
      <c r="B6" s="1477"/>
      <c r="C6" s="1477"/>
      <c r="D6" s="1477"/>
    </row>
    <row r="7" spans="1:11" ht="17.05">
      <c r="A7" s="1326" t="s">
        <v>353</v>
      </c>
      <c r="B7" s="1326" t="s">
        <v>354</v>
      </c>
      <c r="C7" s="1326" t="s">
        <v>355</v>
      </c>
      <c r="D7" s="1326" t="s">
        <v>216</v>
      </c>
      <c r="F7" s="1655" t="s">
        <v>356</v>
      </c>
      <c r="G7" s="1477"/>
      <c r="H7" s="1477"/>
      <c r="I7" s="1477"/>
    </row>
    <row r="8" spans="1:11" ht="30.15">
      <c r="A8" s="1327" t="str">
        <f>IF(OR('Goals and Data'!A61&lt;&gt;"",'Goals and Data'!C61&lt;&gt;""),'Goals and Data'!B61,"")</f>
        <v>Her</v>
      </c>
      <c r="B8" s="1327" t="str">
        <f>IF(OR('Goals and Data'!A61&lt;&gt;"",'Goals and Data'!C61&lt;&gt;""),'Goals and Data'!A61,"")</f>
        <v>Checking</v>
      </c>
      <c r="C8" s="1327" t="str">
        <f>IF(OR('Goals and Data'!A61&lt;&gt;"",'Goals and Data'!C61&lt;&gt;""),'Goals and Data'!B61,"")</f>
        <v>Her</v>
      </c>
      <c r="D8" s="1338">
        <f>IF('Goals and Data'!C61&lt;&gt;"",'Goals and Data'!C61,0)</f>
        <v>100000</v>
      </c>
      <c r="F8" s="1329" t="s">
        <v>357</v>
      </c>
      <c r="G8" s="1329" t="s">
        <v>358</v>
      </c>
      <c r="H8" s="1329" t="s">
        <v>359</v>
      </c>
      <c r="I8" s="1329"/>
    </row>
    <row r="9" spans="1:11">
      <c r="A9" s="1327" t="str">
        <f>IF(OR('Goals and Data'!A62&lt;&gt;"",'Goals and Data'!C62&lt;&gt;""),'Goals and Data'!B62,"")</f>
        <v>Her</v>
      </c>
      <c r="B9" s="1327" t="str">
        <f>IF(OR('Goals and Data'!A62&lt;&gt;"",'Goals and Data'!C62&lt;&gt;""),'Goals and Data'!A62,"")</f>
        <v>Checking</v>
      </c>
      <c r="C9" s="1327" t="str">
        <f>IF(OR('Goals and Data'!A62&lt;&gt;"",'Goals and Data'!C62&lt;&gt;""),'Goals and Data'!B62,"")</f>
        <v>Her</v>
      </c>
      <c r="D9" s="1338">
        <f>IF('Goals and Data'!C62&lt;&gt;"",'Goals and Data'!C62,0)</f>
        <v>0</v>
      </c>
      <c r="F9" s="1327" t="s">
        <v>360</v>
      </c>
      <c r="G9" s="1341">
        <f>IF('Goals and Data'!B41&lt;&gt;"",'Goals and Data'!B41,0)</f>
        <v>0</v>
      </c>
      <c r="H9" s="1338">
        <f>IF('Goals and Data'!F40&lt;&gt;"",'Goals and Data'!F40,0)</f>
        <v>350000</v>
      </c>
      <c r="I9" s="1328"/>
    </row>
    <row r="10" spans="1:11">
      <c r="A10" s="1327" t="str">
        <f>IF(OR('Goals and Data'!A63&lt;&gt;"",'Goals and Data'!C63&lt;&gt;""),'Goals and Data'!B63,"")</f>
        <v>Her</v>
      </c>
      <c r="B10" s="1327" t="str">
        <f>IF(OR('Goals and Data'!A63&lt;&gt;"",'Goals and Data'!C63&lt;&gt;""),'Goals and Data'!A63,"")</f>
        <v>Checking</v>
      </c>
      <c r="C10" s="1327" t="str">
        <f>IF(OR('Goals and Data'!A63&lt;&gt;"",'Goals and Data'!C63&lt;&gt;""),'Goals and Data'!B63,"")</f>
        <v>Her</v>
      </c>
      <c r="D10" s="1338">
        <f>IF('Goals and Data'!C63&lt;&gt;"",'Goals and Data'!C63,0)</f>
        <v>0</v>
      </c>
      <c r="F10" s="1327" t="s">
        <v>361</v>
      </c>
      <c r="G10" s="1341">
        <f>IF('Goals and Data'!B43&lt;&gt;"",'Goals and Data'!B43,0)</f>
        <v>0</v>
      </c>
      <c r="H10" s="1338">
        <f>IF('Goals and Data'!F42&lt;&gt;"",'Goals and Data'!F42,0)</f>
        <v>0</v>
      </c>
      <c r="I10" s="1328"/>
    </row>
    <row r="11" spans="1:11" ht="15.05">
      <c r="A11" s="1327" t="str">
        <f>IF(OR('Goals and Data'!A64&lt;&gt;"",'Goals and Data'!C64&lt;&gt;""),'Goals and Data'!B64,"")</f>
        <v/>
      </c>
      <c r="B11" s="1327" t="str">
        <f>IF(OR('Goals and Data'!A64&lt;&gt;"",'Goals and Data'!C64&lt;&gt;""),'Goals and Data'!A64,"")</f>
        <v/>
      </c>
      <c r="C11" s="1327" t="str">
        <f>IF(OR('Goals and Data'!A64&lt;&gt;"",'Goals and Data'!C64&lt;&gt;""),'Goals and Data'!B64,"")</f>
        <v/>
      </c>
      <c r="D11" s="1338">
        <f>IF('Goals and Data'!C64&lt;&gt;"",'Goals and Data'!C64,0)</f>
        <v>0</v>
      </c>
      <c r="F11" t="s">
        <v>362</v>
      </c>
      <c r="G11" s="1342">
        <f>SUM(G9:G10)</f>
        <v>0</v>
      </c>
      <c r="H11" s="1343"/>
    </row>
    <row r="12" spans="1:11" ht="15.05">
      <c r="A12" s="1327" t="str">
        <f>IF(OR('Goals and Data'!A65&lt;&gt;"",'Goals and Data'!C65&lt;&gt;""),'Goals and Data'!B65,"")</f>
        <v/>
      </c>
      <c r="B12" s="1327" t="str">
        <f>IF(OR('Goals and Data'!A65&lt;&gt;"",'Goals and Data'!C65&lt;&gt;""),'Goals and Data'!A65,"")</f>
        <v/>
      </c>
      <c r="C12" s="1327" t="str">
        <f>IF(OR('Goals and Data'!A65&lt;&gt;"",'Goals and Data'!C65&lt;&gt;""),'Goals and Data'!B65,"")</f>
        <v/>
      </c>
      <c r="D12" s="1338">
        <f>IF('Goals and Data'!C65&lt;&gt;"",'Goals and Data'!C65,0)</f>
        <v>0</v>
      </c>
      <c r="F12" t="s">
        <v>363</v>
      </c>
      <c r="G12" s="1330"/>
      <c r="H12" s="1344">
        <f>SUM(H9:H10)</f>
        <v>350000</v>
      </c>
      <c r="I12" s="1343">
        <f>H12</f>
        <v>350000</v>
      </c>
    </row>
    <row r="13" spans="1:11">
      <c r="A13" s="1327" t="str">
        <f>IF(OR('Goals and Data'!A66&lt;&gt;"",'Goals and Data'!C66&lt;&gt;""),'Goals and Data'!B66,"")</f>
        <v/>
      </c>
      <c r="B13" s="1327" t="str">
        <f>IF(OR('Goals and Data'!A66&lt;&gt;"",'Goals and Data'!C66&lt;&gt;""),'Goals and Data'!A66,"")</f>
        <v/>
      </c>
      <c r="C13" s="1327" t="str">
        <f>IF(OR('Goals and Data'!A66&lt;&gt;"",'Goals and Data'!C66&lt;&gt;""),'Goals and Data'!B66,"")</f>
        <v/>
      </c>
      <c r="D13" s="1338">
        <f>IF('Goals and Data'!C66&lt;&gt;"",'Goals and Data'!C66,0)</f>
        <v>0</v>
      </c>
    </row>
    <row r="14" spans="1:11" ht="17.05">
      <c r="A14" s="1327" t="str">
        <f>IF(OR('Goals and Data'!A67&lt;&gt;"",'Goals and Data'!C67&lt;&gt;""),'Goals and Data'!B67,"")</f>
        <v/>
      </c>
      <c r="B14" s="1327" t="str">
        <f>IF(OR('Goals and Data'!A67&lt;&gt;"",'Goals and Data'!C67&lt;&gt;""),'Goals and Data'!A67,"")</f>
        <v/>
      </c>
      <c r="C14" s="1327" t="str">
        <f>IF(OR('Goals and Data'!A67&lt;&gt;"",'Goals and Data'!C67&lt;&gt;""),'Goals and Data'!B67,"")</f>
        <v/>
      </c>
      <c r="D14" s="1338">
        <f>IF('Goals and Data'!C67&lt;&gt;"",'Goals and Data'!C67,0)</f>
        <v>0</v>
      </c>
      <c r="F14" s="1655" t="s">
        <v>364</v>
      </c>
      <c r="G14" s="1477"/>
      <c r="H14" s="1477"/>
      <c r="I14" s="1477"/>
    </row>
    <row r="15" spans="1:11" ht="45.2">
      <c r="A15" s="1327" t="str">
        <f>IF(OR('Goals and Data'!A68&lt;&gt;"",'Goals and Data'!C68&lt;&gt;""),'Goals and Data'!B68,"")</f>
        <v/>
      </c>
      <c r="B15" s="1327" t="str">
        <f>IF(OR('Goals and Data'!A68&lt;&gt;"",'Goals and Data'!C68&lt;&gt;""),'Goals and Data'!A68,"")</f>
        <v/>
      </c>
      <c r="C15" s="1327" t="str">
        <f>IF(OR('Goals and Data'!A68&lt;&gt;"",'Goals and Data'!C68&lt;&gt;""),'Goals and Data'!B68,"")</f>
        <v/>
      </c>
      <c r="D15" s="1338">
        <f>IF('Goals and Data'!C68&lt;&gt;"",'Goals and Data'!C68,0)</f>
        <v>0</v>
      </c>
      <c r="F15" s="1332" t="s">
        <v>353</v>
      </c>
      <c r="G15" s="1332" t="s">
        <v>365</v>
      </c>
      <c r="H15" s="1332" t="s">
        <v>355</v>
      </c>
      <c r="I15" s="1332" t="s">
        <v>216</v>
      </c>
    </row>
    <row r="16" spans="1:11">
      <c r="A16" s="1327" t="s">
        <v>144</v>
      </c>
      <c r="B16" s="1327"/>
      <c r="C16" s="1327" t="s">
        <v>144</v>
      </c>
      <c r="D16" s="1338">
        <f>SUM(D8:D15)</f>
        <v>100000</v>
      </c>
      <c r="F16" s="1327" t="str">
        <f>IF('Goals and Data'!B73&lt;&gt;"",'Goals and Data'!B73,"")</f>
        <v/>
      </c>
      <c r="G16" s="1327" t="str">
        <f>IF('Goals and Data'!A73&lt;&gt;"",'Goals and Data'!A73,"")</f>
        <v/>
      </c>
      <c r="H16" s="1327" t="str">
        <f>IF('Goals and Data'!D73&lt;&gt;"",'Goals and Data'!D73,"")</f>
        <v/>
      </c>
      <c r="I16" s="1338">
        <f>IF('Goals and Data'!C73&lt;&gt;"",'Goals and Data'!C73,0)</f>
        <v>0</v>
      </c>
    </row>
    <row r="17" spans="1:9" ht="15.05">
      <c r="C17" s="1330" t="s">
        <v>1052</v>
      </c>
      <c r="D17" s="1339">
        <f>D16</f>
        <v>100000</v>
      </c>
      <c r="F17" s="1327" t="str">
        <f>IF('Goals and Data'!B74&lt;&gt;"",'Goals and Data'!B74,"")</f>
        <v/>
      </c>
      <c r="G17" s="1327" t="str">
        <f>IF('Goals and Data'!A74&lt;&gt;"",'Goals and Data'!A74,"")</f>
        <v/>
      </c>
      <c r="H17" s="1327" t="str">
        <f>IF('Goals and Data'!D74&lt;&gt;"",'Goals and Data'!D74,"")</f>
        <v/>
      </c>
      <c r="I17" s="1338">
        <f>IF('Goals and Data'!C74&lt;&gt;"",'Goals and Data'!C74,0)</f>
        <v>0</v>
      </c>
    </row>
    <row r="18" spans="1:9">
      <c r="F18" s="1327" t="str">
        <f>IF('Goals and Data'!B75&lt;&gt;"",'Goals and Data'!B75,"")</f>
        <v/>
      </c>
      <c r="G18" s="1327" t="str">
        <f>IF('Goals and Data'!A75&lt;&gt;"",'Goals and Data'!A75,"")</f>
        <v/>
      </c>
      <c r="H18" s="1327" t="str">
        <f>IF('Goals and Data'!D75&lt;&gt;"",'Goals and Data'!D75,"")</f>
        <v/>
      </c>
      <c r="I18" s="1338">
        <f>IF('Goals and Data'!C75&lt;&gt;"",'Goals and Data'!C75,0)</f>
        <v>0</v>
      </c>
    </row>
    <row r="19" spans="1:9" ht="17.05">
      <c r="A19" s="1655" t="s">
        <v>366</v>
      </c>
      <c r="B19" s="1477"/>
      <c r="C19" s="1477"/>
      <c r="D19" s="1477"/>
      <c r="F19" s="1327"/>
      <c r="G19" s="1327"/>
      <c r="H19" s="1327"/>
      <c r="I19" s="1338"/>
    </row>
    <row r="20" spans="1:9" ht="15.05">
      <c r="A20" s="1333" t="s">
        <v>353</v>
      </c>
      <c r="B20" s="1333" t="s">
        <v>367</v>
      </c>
      <c r="C20" s="1333" t="s">
        <v>355</v>
      </c>
      <c r="D20" s="1333" t="s">
        <v>216</v>
      </c>
      <c r="F20" s="1327"/>
      <c r="G20" s="1327"/>
      <c r="H20" s="1327" t="s">
        <v>1053</v>
      </c>
      <c r="I20" s="1338">
        <f>SUM(I16:I18)</f>
        <v>0</v>
      </c>
    </row>
    <row r="21" spans="1:9" ht="15.05">
      <c r="A21" s="1327" t="str">
        <f>IF(OR('Goals and Data'!A48&lt;&gt;"",'Goals and Data'!D48&lt;&gt;""),'Goals and Data'!B48,"")</f>
        <v>Her</v>
      </c>
      <c r="B21" s="1327" t="str">
        <f>IF(OR('Goals and Data'!A48&lt;&gt;"",'Goals and Data'!D48&lt;&gt;""),'Goals and Data'!A48,"")</f>
        <v>Fidelity</v>
      </c>
      <c r="C21" s="1327" t="str">
        <f>IF(OR('Goals and Data'!A48&lt;&gt;"",'Goals and Data'!D48&lt;&gt;""),'Goals and Data'!C48,"")</f>
        <v>Qualified</v>
      </c>
      <c r="D21" s="1338">
        <f>IF('Goals and Data'!D48&lt;&gt;"",'Goals and Data'!D48,0)</f>
        <v>100000</v>
      </c>
      <c r="H21" s="1330"/>
      <c r="I21" s="1334"/>
    </row>
    <row r="22" spans="1:9">
      <c r="A22" s="1327" t="str">
        <f>IF(OR('Goals and Data'!A49&lt;&gt;"",'Goals and Data'!D49&lt;&gt;""),'Goals and Data'!B49,"")</f>
        <v/>
      </c>
      <c r="B22" s="1327" t="str">
        <f>IF(OR('Goals and Data'!A49&lt;&gt;"",'Goals and Data'!D49&lt;&gt;""),'Goals and Data'!A49,"")</f>
        <v/>
      </c>
      <c r="C22" s="1327" t="str">
        <f>IF(OR('Goals and Data'!A49&lt;&gt;"",'Goals and Data'!D49&lt;&gt;""),'Goals and Data'!C49,"")</f>
        <v/>
      </c>
      <c r="D22" s="1338">
        <f>IF('Goals and Data'!D49&lt;&gt;"",'Goals and Data'!D49,0)</f>
        <v>0</v>
      </c>
    </row>
    <row r="23" spans="1:9">
      <c r="A23" s="1327" t="str">
        <f>IF(OR('Goals and Data'!A50&lt;&gt;"",'Goals and Data'!D50&lt;&gt;""),'Goals and Data'!B50,"")</f>
        <v/>
      </c>
      <c r="B23" s="1327" t="str">
        <f>IF(OR('Goals and Data'!A50&lt;&gt;"",'Goals and Data'!D50&lt;&gt;""),'Goals and Data'!A50,"")</f>
        <v/>
      </c>
      <c r="C23" s="1327" t="str">
        <f>IF(OR('Goals and Data'!A50&lt;&gt;"",'Goals and Data'!D50&lt;&gt;""),'Goals and Data'!C50,"")</f>
        <v/>
      </c>
      <c r="D23" s="1338">
        <f>IF('Goals and Data'!D50&lt;&gt;"",'Goals and Data'!D50,0)</f>
        <v>0</v>
      </c>
    </row>
    <row r="24" spans="1:9" ht="17.05">
      <c r="A24" s="1327" t="str">
        <f>IF(OR('Goals and Data'!A51&lt;&gt;"",'Goals and Data'!D51&lt;&gt;""),'Goals and Data'!B51,"")</f>
        <v/>
      </c>
      <c r="B24" s="1327" t="str">
        <f>IF(OR('Goals and Data'!A51&lt;&gt;"",'Goals and Data'!D51&lt;&gt;""),'Goals and Data'!A51,"")</f>
        <v/>
      </c>
      <c r="C24" s="1327" t="str">
        <f>IF(OR('Goals and Data'!A51&lt;&gt;"",'Goals and Data'!D51&lt;&gt;""),'Goals and Data'!C51,"")</f>
        <v/>
      </c>
      <c r="D24" s="1338">
        <f>IF('Goals and Data'!D51&lt;&gt;"",'Goals and Data'!D51,0)</f>
        <v>0</v>
      </c>
      <c r="H24" s="1325" t="s">
        <v>1054</v>
      </c>
      <c r="I24" s="1345">
        <f>D17+D31+I12+I20</f>
        <v>550000</v>
      </c>
    </row>
    <row r="25" spans="1:9" ht="17.05">
      <c r="A25" s="1327" t="str">
        <f>IF(OR('Goals and Data'!A52&lt;&gt;"",'Goals and Data'!D52&lt;&gt;""),'Goals and Data'!B52,"")</f>
        <v/>
      </c>
      <c r="B25" s="1327" t="str">
        <f>IF(OR('Goals and Data'!A52&lt;&gt;"",'Goals and Data'!D52&lt;&gt;""),'Goals and Data'!A52,"")</f>
        <v/>
      </c>
      <c r="C25" s="1327" t="str">
        <f>IF(OR('Goals and Data'!A52&lt;&gt;"",'Goals and Data'!D52&lt;&gt;""),'Goals and Data'!C52,"")</f>
        <v/>
      </c>
      <c r="D25" s="1338">
        <f>IF('Goals and Data'!D52&lt;&gt;"",'Goals and Data'!D52,0)</f>
        <v>0</v>
      </c>
      <c r="H25" s="1325" t="s">
        <v>1055</v>
      </c>
      <c r="I25" s="1345">
        <f>G11</f>
        <v>0</v>
      </c>
    </row>
    <row r="26" spans="1:9" ht="20.3">
      <c r="A26" s="1327" t="str">
        <f>IF(OR('Goals and Data'!A53&lt;&gt;"",'Goals and Data'!D53&lt;&gt;""),'Goals and Data'!B53,"")</f>
        <v/>
      </c>
      <c r="B26" s="1327" t="str">
        <f>IF(OR('Goals and Data'!A53&lt;&gt;"",'Goals and Data'!D53&lt;&gt;""),'Goals and Data'!A53,"")</f>
        <v/>
      </c>
      <c r="C26" s="1327" t="str">
        <f>IF(OR('Goals and Data'!A53&lt;&gt;"",'Goals and Data'!D53&lt;&gt;""),'Goals and Data'!C53,"")</f>
        <v/>
      </c>
      <c r="D26" s="1338">
        <f>IF('Goals and Data'!D53&lt;&gt;"",'Goals and Data'!D53,0)</f>
        <v>0</v>
      </c>
      <c r="H26" s="1335" t="s">
        <v>1056</v>
      </c>
      <c r="I26" s="1346">
        <f>I24-I25</f>
        <v>550000</v>
      </c>
    </row>
    <row r="27" spans="1:9">
      <c r="A27" s="1327" t="str">
        <f>IF(OR('Goals and Data'!A54&lt;&gt;"",'Goals and Data'!D54&lt;&gt;""),'Goals and Data'!B54,"")</f>
        <v/>
      </c>
      <c r="B27" s="1327" t="str">
        <f>IF(OR('Goals and Data'!A54&lt;&gt;"",'Goals and Data'!D54&lt;&gt;""),'Goals and Data'!A54,"")</f>
        <v/>
      </c>
      <c r="C27" s="1327" t="str">
        <f>IF(OR('Goals and Data'!A54&lt;&gt;"",'Goals and Data'!D54&lt;&gt;""),'Goals and Data'!C54,"")</f>
        <v/>
      </c>
      <c r="D27" s="1338">
        <f>IF('Goals and Data'!D54&lt;&gt;"",'Goals and Data'!D54,0)</f>
        <v>0</v>
      </c>
    </row>
    <row r="28" spans="1:9">
      <c r="A28" s="1327" t="str">
        <f>IF(OR('Goals and Data'!A55&lt;&gt;"",'Goals and Data'!D55&lt;&gt;""),'Goals and Data'!B55,"")</f>
        <v/>
      </c>
      <c r="B28" s="1327" t="str">
        <f>IF(OR('Goals and Data'!A55&lt;&gt;"",'Goals and Data'!D55&lt;&gt;""),'Goals and Data'!A55,"")</f>
        <v/>
      </c>
      <c r="C28" s="1327" t="str">
        <f>IF(OR('Goals and Data'!A55&lt;&gt;"",'Goals and Data'!D55&lt;&gt;""),'Goals and Data'!C55,"")</f>
        <v/>
      </c>
      <c r="D28" s="1338">
        <f>IF('Goals and Data'!D55&lt;&gt;"",'Goals and Data'!D55,0)</f>
        <v>0</v>
      </c>
    </row>
    <row r="29" spans="1:9">
      <c r="A29" s="1327" t="str">
        <f>IF(OR('Goals and Data'!A56&lt;&gt;"",'Goals and Data'!D56&lt;&gt;""),'Goals and Data'!B56,"")</f>
        <v/>
      </c>
      <c r="B29" s="1327" t="str">
        <f>IF(OR('Goals and Data'!A56&lt;&gt;"",'Goals and Data'!D56&lt;&gt;""),'Goals and Data'!A56,"")</f>
        <v/>
      </c>
      <c r="C29" s="1327" t="str">
        <f>IF(OR('Goals and Data'!A56&lt;&gt;"",'Goals and Data'!D56&lt;&gt;""),'Goals and Data'!C56,"")</f>
        <v/>
      </c>
      <c r="D29" s="1338">
        <f>IF('Goals and Data'!D56&lt;&gt;"",'Goals and Data'!D56,0)</f>
        <v>0</v>
      </c>
    </row>
    <row r="30" spans="1:9">
      <c r="A30" s="1327"/>
      <c r="B30" s="1327"/>
      <c r="C30" s="1327"/>
      <c r="D30" s="1338">
        <v>0</v>
      </c>
    </row>
    <row r="31" spans="1:9" ht="15.05">
      <c r="C31" s="1330" t="s">
        <v>368</v>
      </c>
      <c r="D31" s="1340">
        <f>SUM(D21:D30)</f>
        <v>100000</v>
      </c>
    </row>
    <row r="34" spans="8:11" ht="17.05">
      <c r="H34" s="1325"/>
      <c r="K34" s="1336"/>
    </row>
    <row r="35" spans="8:11" ht="17.05">
      <c r="H35" s="1325"/>
      <c r="I35" s="1331"/>
      <c r="K35" s="1336"/>
    </row>
    <row r="36" spans="8:11" ht="20.3">
      <c r="H36" s="1335"/>
      <c r="I36" s="1331"/>
      <c r="K36" s="1337"/>
    </row>
  </sheetData>
  <sheetProtection algorithmName="SHA-512" hashValue="/az9QLdOeioX4KX/Fb5Wm/E/W7RYvFjfa4U92fjuOZhM6rEVL5kIDGsiv0m5ECBscaa3qbdwJmQ5u8QKFo7N2A==" saltValue="fC2GIO47T1wYd7uzTJ13PQ==" spinCount="100000" sheet="1" objects="1" scenarios="1"/>
  <mergeCells count="7">
    <mergeCell ref="A19:D19"/>
    <mergeCell ref="A1:D1"/>
    <mergeCell ref="A3:I3"/>
    <mergeCell ref="A4:I4"/>
    <mergeCell ref="A6:D6"/>
    <mergeCell ref="F7:I7"/>
    <mergeCell ref="F14:I1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7918-A3C7-44F3-B652-37EC14F7AC47}">
  <dimension ref="A1:W62"/>
  <sheetViews>
    <sheetView showGridLines="0" showRowColHeaders="0" workbookViewId="0">
      <selection activeCell="D23" sqref="D23"/>
      <extLst>
        <ext xmlns:xlsdti="http://schemas.microsoft.com/office/spreadsheetml/2023/showDataTypeIcons" uri="{77bfe23e-c014-4d31-8a63-9c772dbf06b6}">
          <xlsdti:showDataTypeIcons visible="0"/>
        </ext>
      </extLst>
    </sheetView>
  </sheetViews>
  <sheetFormatPr defaultColWidth="9.125" defaultRowHeight="13.1"/>
  <cols>
    <col min="1" max="1" width="7.625" style="1355" customWidth="1"/>
    <col min="2" max="2" width="7.25" style="1354" customWidth="1"/>
    <col min="3" max="3" width="13.875" style="1354" bestFit="1" customWidth="1"/>
    <col min="4" max="4" width="17.25" style="1355" bestFit="1" customWidth="1"/>
    <col min="5" max="5" width="15.625" style="1383" bestFit="1" customWidth="1"/>
    <col min="6" max="6" width="12.75" style="1355" bestFit="1" customWidth="1"/>
    <col min="7" max="7" width="14.25" style="1355" bestFit="1" customWidth="1"/>
    <col min="8" max="8" width="17.25" style="1355" bestFit="1" customWidth="1"/>
    <col min="9" max="9" width="15.75" style="1355" bestFit="1" customWidth="1"/>
    <col min="10" max="10" width="17.75" style="1355" bestFit="1" customWidth="1"/>
    <col min="11" max="12" width="16.875" style="1355" bestFit="1" customWidth="1"/>
    <col min="13" max="13" width="13.875" style="1355" bestFit="1" customWidth="1"/>
    <col min="14" max="14" width="10.875" style="1355" bestFit="1" customWidth="1"/>
    <col min="15" max="15" width="14.625" style="1355" bestFit="1" customWidth="1"/>
    <col min="16" max="21" width="9.125" style="1356"/>
    <col min="22" max="22" width="9.25" style="1356" customWidth="1"/>
    <col min="23" max="23" width="9.125" style="1356"/>
    <col min="24" max="16384" width="9.125" style="1355"/>
  </cols>
  <sheetData>
    <row r="1" spans="1:23" ht="15.75" thickBot="1">
      <c r="A1" s="1707"/>
      <c r="B1" s="1708"/>
      <c r="C1" s="1708"/>
      <c r="D1" s="1709"/>
      <c r="E1" s="1353"/>
      <c r="F1" s="1710"/>
      <c r="G1" s="1711"/>
      <c r="H1" s="1712"/>
      <c r="I1" s="1353"/>
      <c r="J1" s="1713"/>
      <c r="K1" s="1711"/>
      <c r="L1" s="1712"/>
      <c r="M1" s="1354"/>
    </row>
    <row r="2" spans="1:23" ht="15.75" thickBot="1">
      <c r="A2" s="1357"/>
      <c r="B2" s="1358"/>
      <c r="C2" s="1358"/>
      <c r="D2" s="1358"/>
      <c r="E2" s="1359"/>
      <c r="F2" s="1360"/>
      <c r="G2" s="1360"/>
      <c r="H2" s="1360"/>
      <c r="I2" s="1359"/>
      <c r="J2" s="1361"/>
      <c r="K2" s="1362"/>
      <c r="L2" s="1360"/>
      <c r="M2" s="1354"/>
    </row>
    <row r="3" spans="1:23" ht="15.75" thickBot="1">
      <c r="B3" s="1355"/>
      <c r="C3" s="1355"/>
      <c r="E3" s="1363" t="s">
        <v>372</v>
      </c>
      <c r="F3" s="1364">
        <f>'Goals and Data'!E9</f>
        <v>18919</v>
      </c>
      <c r="G3" s="1453">
        <f ca="1">DATEDIF(F3,TODAY(),"y")</f>
        <v>74</v>
      </c>
      <c r="H3" s="1363" t="s">
        <v>411</v>
      </c>
      <c r="I3" s="1365">
        <v>67</v>
      </c>
      <c r="J3" s="1366">
        <f ca="1">I3-G3</f>
        <v>-7</v>
      </c>
      <c r="K3" s="1367" t="s">
        <v>47</v>
      </c>
      <c r="L3" s="1360"/>
      <c r="Q3" s="1355"/>
    </row>
    <row r="4" spans="1:23" ht="18.350000000000001" thickBot="1">
      <c r="C4" s="1368">
        <f ca="1">TODAY()</f>
        <v>46198</v>
      </c>
      <c r="E4" s="1369" t="s">
        <v>374</v>
      </c>
      <c r="F4" s="1370">
        <f>'Goals and Data'!E10</f>
        <v>23906</v>
      </c>
      <c r="G4" s="1453">
        <f ca="1">DATEDIF(F4,TODAY(),"y")</f>
        <v>61</v>
      </c>
      <c r="H4" s="1369" t="s">
        <v>373</v>
      </c>
      <c r="I4" s="1371">
        <v>67</v>
      </c>
      <c r="J4" s="1372">
        <f ca="1">I4-G4</f>
        <v>6</v>
      </c>
      <c r="K4" s="1369" t="s">
        <v>47</v>
      </c>
    </row>
    <row r="5" spans="1:23" ht="20.95" thickBot="1">
      <c r="C5" s="1373">
        <v>2020</v>
      </c>
      <c r="D5" s="1360"/>
      <c r="E5" s="1374"/>
      <c r="F5" s="1374"/>
      <c r="G5" s="1374"/>
      <c r="H5" s="1360"/>
      <c r="I5" s="1375"/>
      <c r="J5" s="1360"/>
      <c r="K5" s="1360"/>
      <c r="L5" s="1375"/>
      <c r="M5" s="1376"/>
      <c r="N5" s="1360"/>
      <c r="P5" s="1355"/>
      <c r="Q5" s="1355"/>
      <c r="R5" s="1355"/>
      <c r="S5" s="1355"/>
      <c r="T5" s="1355"/>
      <c r="U5" s="1355"/>
      <c r="V5" s="1355"/>
      <c r="W5" s="1355"/>
    </row>
    <row r="6" spans="1:23" ht="18.350000000000001" thickBot="1">
      <c r="A6" s="1714"/>
      <c r="B6" s="1715"/>
      <c r="C6" s="1716"/>
      <c r="D6" s="1377"/>
      <c r="E6" s="1717" t="s">
        <v>380</v>
      </c>
      <c r="F6" s="1718"/>
      <c r="G6" s="1378">
        <f>'Goals and Data'!D87</f>
        <v>123813.84</v>
      </c>
      <c r="H6" s="1379" t="s">
        <v>377</v>
      </c>
      <c r="J6" s="1379" t="s">
        <v>377</v>
      </c>
      <c r="K6" s="1380"/>
      <c r="N6" s="1381"/>
      <c r="O6" s="1381"/>
      <c r="P6" s="1355"/>
      <c r="Q6" s="1355"/>
      <c r="R6" s="1355"/>
      <c r="S6" s="1355"/>
      <c r="T6" s="1355"/>
      <c r="U6" s="1355"/>
      <c r="V6" s="1355"/>
      <c r="W6" s="1355"/>
    </row>
    <row r="7" spans="1:23" ht="18.350000000000001" thickBot="1">
      <c r="A7" s="1702"/>
      <c r="B7" s="1703"/>
      <c r="C7" s="1704"/>
      <c r="D7" s="1455"/>
      <c r="E7" s="1705"/>
      <c r="F7" s="1706"/>
      <c r="G7" s="1454"/>
      <c r="H7" s="1379"/>
      <c r="I7" s="1454"/>
      <c r="J7" s="1379" t="s">
        <v>380</v>
      </c>
      <c r="K7" s="1382">
        <f>G6+G7</f>
        <v>123813.84</v>
      </c>
      <c r="O7" s="1381"/>
      <c r="P7" s="1355"/>
      <c r="Q7" s="1355"/>
      <c r="R7" s="1355"/>
      <c r="S7" s="1355"/>
      <c r="T7" s="1355"/>
      <c r="U7" s="1355"/>
      <c r="V7" s="1355"/>
      <c r="W7" s="1355"/>
    </row>
    <row r="9" spans="1:23" ht="13.75" thickBot="1"/>
    <row r="10" spans="1:23" ht="18.350000000000001" thickBot="1">
      <c r="A10" s="1683" t="s">
        <v>50</v>
      </c>
      <c r="B10" s="1683"/>
      <c r="C10" s="1683"/>
      <c r="D10" s="1683"/>
      <c r="E10" s="1384">
        <f>'Goals and Data'!B90</f>
        <v>8577.2199999999993</v>
      </c>
      <c r="F10" s="1385" t="s">
        <v>51</v>
      </c>
      <c r="G10" s="1386">
        <f>E10*12</f>
        <v>102926.63999999998</v>
      </c>
      <c r="H10" s="1388" t="s">
        <v>1070</v>
      </c>
      <c r="I10" s="1387">
        <f>G10*1.25</f>
        <v>128658.29999999999</v>
      </c>
      <c r="J10" s="1496" t="s">
        <v>1069</v>
      </c>
      <c r="K10" s="1496"/>
      <c r="L10" s="1496"/>
      <c r="M10" s="1496"/>
      <c r="N10" s="1496"/>
      <c r="O10" s="1381"/>
    </row>
    <row r="11" spans="1:23" ht="20.95" thickBot="1">
      <c r="C11" s="1373"/>
      <c r="D11" s="1360"/>
      <c r="E11" s="1374"/>
      <c r="F11" s="1374"/>
      <c r="G11" s="1374"/>
      <c r="H11" s="1360"/>
      <c r="I11" s="1375"/>
      <c r="J11" s="1360"/>
      <c r="K11" s="1360"/>
      <c r="L11" s="1375"/>
      <c r="M11" s="1376"/>
      <c r="N11" s="1360"/>
      <c r="P11" s="1355"/>
      <c r="Q11" s="1355"/>
      <c r="R11" s="1355"/>
      <c r="S11" s="1355"/>
      <c r="T11" s="1355"/>
      <c r="U11" s="1355"/>
      <c r="V11" s="1355"/>
      <c r="W11" s="1355"/>
    </row>
    <row r="12" spans="1:23" ht="18" customHeight="1" thickBot="1">
      <c r="A12" s="1684" t="s">
        <v>383</v>
      </c>
      <c r="B12" s="1685"/>
      <c r="C12" s="1686"/>
      <c r="D12" s="1389">
        <f>'Goals and Data'!C79</f>
        <v>2083.33</v>
      </c>
      <c r="E12" s="1390" t="s">
        <v>12</v>
      </c>
      <c r="F12" s="1391">
        <v>67</v>
      </c>
      <c r="G12" s="1687" t="s">
        <v>54</v>
      </c>
      <c r="H12" s="1688"/>
      <c r="I12" s="1392">
        <f>D12*12</f>
        <v>24999.96</v>
      </c>
      <c r="J12" s="1689" t="s">
        <v>55</v>
      </c>
      <c r="K12" s="1689"/>
      <c r="L12" s="1689"/>
      <c r="M12" s="1689"/>
      <c r="N12" s="1689"/>
      <c r="O12" s="1689"/>
    </row>
    <row r="13" spans="1:23" ht="18.350000000000001" thickBot="1">
      <c r="A13" s="1690" t="s">
        <v>521</v>
      </c>
      <c r="B13" s="1691"/>
      <c r="C13" s="1692"/>
      <c r="D13" s="1393">
        <f>'Goals and Data'!C80</f>
        <v>2670.07</v>
      </c>
      <c r="E13" s="1456" t="s">
        <v>12</v>
      </c>
      <c r="F13" s="1394">
        <v>67</v>
      </c>
      <c r="G13" s="1693" t="s">
        <v>54</v>
      </c>
      <c r="H13" s="1694"/>
      <c r="I13" s="1387">
        <f>D13*12</f>
        <v>32040.840000000004</v>
      </c>
      <c r="J13" s="1695"/>
      <c r="K13" s="1695"/>
      <c r="L13" s="1395"/>
      <c r="N13" s="1381"/>
      <c r="O13" s="1381"/>
    </row>
    <row r="14" spans="1:23" ht="17.55" customHeight="1">
      <c r="A14" s="1696"/>
      <c r="B14" s="1696"/>
      <c r="C14" s="1696"/>
      <c r="D14" s="1696"/>
      <c r="E14" s="1696"/>
      <c r="F14" s="1696"/>
      <c r="G14" s="1696"/>
      <c r="H14" s="1696"/>
      <c r="I14" s="1696"/>
      <c r="J14" s="1696"/>
      <c r="K14" s="1696"/>
      <c r="L14" s="1696"/>
      <c r="M14" s="1696"/>
      <c r="N14" s="1696"/>
      <c r="O14" s="1696"/>
      <c r="P14" s="1355"/>
      <c r="Q14" s="1355"/>
      <c r="R14" s="1355"/>
      <c r="S14" s="1355"/>
      <c r="T14" s="1355"/>
      <c r="U14" s="1355"/>
      <c r="V14" s="1355"/>
      <c r="W14" s="1355"/>
    </row>
    <row r="15" spans="1:23" ht="23.6">
      <c r="A15" s="1697" t="s">
        <v>385</v>
      </c>
      <c r="B15" s="1697"/>
      <c r="C15" s="1697"/>
      <c r="D15" s="1697"/>
      <c r="E15" s="1697"/>
      <c r="F15" s="1697"/>
      <c r="G15" s="1697"/>
      <c r="H15" s="1697"/>
      <c r="I15" s="1697"/>
      <c r="J15" s="1697"/>
      <c r="K15" s="1697"/>
      <c r="L15" s="1697"/>
      <c r="M15" s="1697"/>
      <c r="N15" s="1697"/>
      <c r="O15" s="1698"/>
      <c r="P15" s="1355"/>
      <c r="Q15" s="1355"/>
      <c r="R15" s="1355"/>
      <c r="S15" s="1355"/>
      <c r="T15" s="1355"/>
      <c r="U15" s="1355"/>
      <c r="V15" s="1355"/>
      <c r="W15" s="1355"/>
    </row>
    <row r="16" spans="1:23" ht="24.25" thickBot="1">
      <c r="A16" s="1699" t="s">
        <v>57</v>
      </c>
      <c r="B16" s="1700"/>
      <c r="C16" s="1700"/>
      <c r="D16" s="1700"/>
      <c r="E16" s="1700"/>
      <c r="F16" s="1700"/>
      <c r="G16" s="1700"/>
      <c r="H16" s="1700"/>
      <c r="I16" s="1700"/>
      <c r="J16" s="1700"/>
      <c r="K16" s="1700"/>
      <c r="L16" s="1700"/>
      <c r="M16" s="1700"/>
      <c r="N16" s="1700"/>
      <c r="O16" s="1701"/>
    </row>
    <row r="17" spans="1:23" s="1405" customFormat="1" ht="100" customHeight="1" thickBot="1">
      <c r="A17" s="1396"/>
      <c r="B17" s="1396"/>
      <c r="C17" s="1396"/>
      <c r="D17" s="1397" t="s">
        <v>413</v>
      </c>
      <c r="E17" s="1398" t="s">
        <v>524</v>
      </c>
      <c r="F17" s="1399"/>
      <c r="G17" s="1399"/>
      <c r="H17" s="1457"/>
      <c r="I17" s="1400"/>
      <c r="J17" s="1457"/>
      <c r="K17" s="1457"/>
      <c r="L17" s="1400"/>
      <c r="M17" s="1401" t="s">
        <v>65</v>
      </c>
      <c r="N17" s="1402" t="s">
        <v>414</v>
      </c>
      <c r="O17" s="1403" t="s">
        <v>67</v>
      </c>
      <c r="P17" s="1404"/>
      <c r="Q17" s="1404"/>
      <c r="R17" s="1404"/>
      <c r="S17" s="1404"/>
      <c r="T17" s="1404"/>
      <c r="U17" s="1404"/>
      <c r="V17" s="1404"/>
      <c r="W17" s="1404"/>
    </row>
    <row r="18" spans="1:23" ht="13.75" hidden="1" thickBot="1">
      <c r="A18" s="1406">
        <v>2009</v>
      </c>
      <c r="B18" s="1406">
        <v>56</v>
      </c>
      <c r="C18" s="1406">
        <v>55</v>
      </c>
      <c r="D18" s="215">
        <v>0</v>
      </c>
      <c r="E18" s="1407">
        <v>0</v>
      </c>
      <c r="F18" s="215">
        <v>0</v>
      </c>
      <c r="G18" s="215">
        <v>0</v>
      </c>
      <c r="H18" s="215">
        <v>0</v>
      </c>
      <c r="I18" s="215">
        <v>0</v>
      </c>
      <c r="J18" s="215">
        <v>0</v>
      </c>
      <c r="K18" s="215"/>
      <c r="L18" s="215">
        <v>0</v>
      </c>
      <c r="M18" s="1408">
        <f ca="1">SUM(D18:N18)</f>
        <v>0</v>
      </c>
      <c r="N18" s="215">
        <v>0</v>
      </c>
      <c r="O18" s="215">
        <v>0</v>
      </c>
    </row>
    <row r="19" spans="1:23" ht="13.75" thickBot="1">
      <c r="A19" s="1660"/>
      <c r="B19" s="1660"/>
      <c r="C19" s="1660"/>
      <c r="D19" s="1005"/>
      <c r="E19" s="1409"/>
      <c r="F19" s="1005"/>
      <c r="G19" s="1005"/>
      <c r="H19" s="1458"/>
      <c r="I19" s="1410"/>
      <c r="J19" s="1458"/>
      <c r="K19" s="1458"/>
      <c r="L19" s="1410"/>
      <c r="M19" s="1411"/>
      <c r="N19" s="1411"/>
      <c r="O19" s="1412"/>
    </row>
    <row r="20" spans="1:23" ht="13.75" thickBot="1">
      <c r="A20" s="1658"/>
      <c r="B20" s="1658"/>
      <c r="C20" s="1659"/>
      <c r="D20" s="1413">
        <f>F12</f>
        <v>67</v>
      </c>
      <c r="E20" s="1413">
        <f>F13</f>
        <v>67</v>
      </c>
      <c r="F20" s="1413"/>
      <c r="G20" s="1413"/>
      <c r="H20" s="1459"/>
      <c r="I20" s="1414"/>
      <c r="J20" s="1461"/>
      <c r="K20" s="1461"/>
      <c r="L20" s="1414"/>
      <c r="M20" s="1415"/>
      <c r="N20" s="1416"/>
      <c r="O20" s="1417"/>
    </row>
    <row r="21" spans="1:23" ht="15.55" customHeight="1">
      <c r="A21" s="1675" t="s">
        <v>26</v>
      </c>
      <c r="B21" s="1677" t="s">
        <v>390</v>
      </c>
      <c r="C21" s="1679" t="s">
        <v>58</v>
      </c>
      <c r="D21" s="1418">
        <f>I12</f>
        <v>24999.96</v>
      </c>
      <c r="E21" s="1418">
        <f>I13</f>
        <v>32040.840000000004</v>
      </c>
      <c r="F21" s="1418"/>
      <c r="G21" s="1418"/>
      <c r="H21" s="1460"/>
      <c r="I21" s="1419"/>
      <c r="J21" s="1460"/>
      <c r="K21" s="1460"/>
      <c r="L21" s="1419"/>
      <c r="M21" s="1415"/>
      <c r="N21" s="1416"/>
      <c r="O21" s="1417"/>
    </row>
    <row r="22" spans="1:23" ht="15.55" customHeight="1">
      <c r="A22" s="1676"/>
      <c r="B22" s="1678"/>
      <c r="C22" s="1680"/>
      <c r="D22" s="1681"/>
      <c r="E22" s="1681"/>
      <c r="F22" s="1681"/>
      <c r="G22" s="1681"/>
      <c r="H22" s="1681"/>
      <c r="I22" s="1681"/>
      <c r="J22" s="1681"/>
      <c r="K22" s="1681"/>
      <c r="L22" s="1682"/>
      <c r="M22" s="1420"/>
      <c r="N22" s="1354"/>
      <c r="O22" s="1421"/>
    </row>
    <row r="23" spans="1:23" ht="15.05">
      <c r="A23" s="1422" t="s">
        <v>1061</v>
      </c>
      <c r="B23" s="1423">
        <f ca="1">G3</f>
        <v>74</v>
      </c>
      <c r="C23" s="1424">
        <f ca="1">G4</f>
        <v>61</v>
      </c>
      <c r="D23" s="1425">
        <v>0</v>
      </c>
      <c r="E23" s="1425">
        <v>0</v>
      </c>
      <c r="F23" s="1425">
        <v>0</v>
      </c>
      <c r="G23" s="1426">
        <v>0</v>
      </c>
      <c r="H23" s="1425">
        <v>0</v>
      </c>
      <c r="I23" s="1425">
        <v>0</v>
      </c>
      <c r="J23" s="1425">
        <v>0</v>
      </c>
      <c r="K23" s="1425">
        <v>0</v>
      </c>
      <c r="L23" s="1425">
        <v>0</v>
      </c>
      <c r="M23" s="1427">
        <f>D23+E23+F23+G23+H23+I23+J23+K23+L23</f>
        <v>0</v>
      </c>
      <c r="N23" s="967">
        <f>I10</f>
        <v>128658.29999999999</v>
      </c>
      <c r="O23" s="1428">
        <f>M23-N24</f>
        <v>-128658.29999999999</v>
      </c>
    </row>
    <row r="24" spans="1:23" ht="14.4">
      <c r="A24" s="1429">
        <f t="shared" ref="A24:C39" si="0">A23+1</f>
        <v>2027</v>
      </c>
      <c r="B24" s="1430">
        <f t="shared" ca="1" si="0"/>
        <v>75</v>
      </c>
      <c r="C24" s="1431">
        <f t="shared" ca="1" si="0"/>
        <v>62</v>
      </c>
      <c r="D24" s="1425">
        <v>0</v>
      </c>
      <c r="E24" s="1425">
        <v>0</v>
      </c>
      <c r="F24" s="1425">
        <v>0</v>
      </c>
      <c r="G24" s="1425">
        <v>0</v>
      </c>
      <c r="H24" s="1425">
        <v>0</v>
      </c>
      <c r="I24" s="1425">
        <v>0</v>
      </c>
      <c r="J24" s="1425">
        <v>0</v>
      </c>
      <c r="K24" s="1425">
        <v>0</v>
      </c>
      <c r="L24" s="1425">
        <v>0</v>
      </c>
      <c r="M24" s="1427">
        <f t="shared" ref="M24:M40" si="1">D24+E24+F24+G24+H24+I24+J24+K24+L24</f>
        <v>0</v>
      </c>
      <c r="N24" s="967">
        <f>I10</f>
        <v>128658.29999999999</v>
      </c>
      <c r="O24" s="1432">
        <f t="shared" ref="O24:O51" si="2">M24-N25</f>
        <v>-128658.29999999999</v>
      </c>
    </row>
    <row r="25" spans="1:23" ht="14.4">
      <c r="A25" s="1433">
        <f t="shared" si="0"/>
        <v>2028</v>
      </c>
      <c r="B25" s="1424">
        <f t="shared" ca="1" si="0"/>
        <v>76</v>
      </c>
      <c r="C25" s="1424">
        <f t="shared" ca="1" si="0"/>
        <v>63</v>
      </c>
      <c r="D25" s="1425">
        <v>0</v>
      </c>
      <c r="E25" s="1425">
        <v>0</v>
      </c>
      <c r="F25" s="1425">
        <v>0</v>
      </c>
      <c r="G25" s="1425">
        <v>0</v>
      </c>
      <c r="H25" s="1425">
        <v>0</v>
      </c>
      <c r="I25" s="1425">
        <v>0</v>
      </c>
      <c r="J25" s="1425">
        <v>0</v>
      </c>
      <c r="K25" s="1425">
        <v>0</v>
      </c>
      <c r="L25" s="1425">
        <v>0</v>
      </c>
      <c r="M25" s="1427">
        <f t="shared" si="1"/>
        <v>0</v>
      </c>
      <c r="N25" s="967">
        <f>I10</f>
        <v>128658.29999999999</v>
      </c>
      <c r="O25" s="1432">
        <f t="shared" si="2"/>
        <v>-128658.29999999999</v>
      </c>
    </row>
    <row r="26" spans="1:23" ht="14.4">
      <c r="A26" s="1429">
        <f t="shared" si="0"/>
        <v>2029</v>
      </c>
      <c r="B26" s="1434">
        <f t="shared" ca="1" si="0"/>
        <v>77</v>
      </c>
      <c r="C26" s="1434">
        <f t="shared" ca="1" si="0"/>
        <v>64</v>
      </c>
      <c r="D26" s="1425">
        <v>0</v>
      </c>
      <c r="E26" s="1425">
        <v>0</v>
      </c>
      <c r="F26" s="1425">
        <v>0</v>
      </c>
      <c r="G26" s="1425">
        <v>0</v>
      </c>
      <c r="H26" s="1425">
        <v>0</v>
      </c>
      <c r="I26" s="1425">
        <v>0</v>
      </c>
      <c r="J26" s="1425">
        <v>0</v>
      </c>
      <c r="K26" s="1425">
        <v>0</v>
      </c>
      <c r="L26" s="1425">
        <v>0</v>
      </c>
      <c r="M26" s="1427">
        <f t="shared" si="1"/>
        <v>0</v>
      </c>
      <c r="N26" s="967">
        <f>I10</f>
        <v>128658.29999999999</v>
      </c>
      <c r="O26" s="1432">
        <f t="shared" si="2"/>
        <v>-128658.29999999999</v>
      </c>
    </row>
    <row r="27" spans="1:23" ht="14.4">
      <c r="A27" s="1429">
        <f t="shared" si="0"/>
        <v>2030</v>
      </c>
      <c r="B27" s="1424">
        <f t="shared" ca="1" si="0"/>
        <v>78</v>
      </c>
      <c r="C27" s="1424">
        <f t="shared" ca="1" si="0"/>
        <v>65</v>
      </c>
      <c r="D27" s="1425">
        <v>0</v>
      </c>
      <c r="E27" s="1425">
        <v>0</v>
      </c>
      <c r="F27" s="1425">
        <v>0</v>
      </c>
      <c r="G27" s="1425">
        <v>0</v>
      </c>
      <c r="H27" s="1425">
        <v>0</v>
      </c>
      <c r="I27" s="1425">
        <v>0</v>
      </c>
      <c r="J27" s="1425">
        <v>0</v>
      </c>
      <c r="K27" s="1425">
        <v>0</v>
      </c>
      <c r="L27" s="1425">
        <v>0</v>
      </c>
      <c r="M27" s="1427">
        <f t="shared" si="1"/>
        <v>0</v>
      </c>
      <c r="N27" s="967">
        <f>I10</f>
        <v>128658.29999999999</v>
      </c>
      <c r="O27" s="1432">
        <f t="shared" si="2"/>
        <v>-128658.29999999999</v>
      </c>
    </row>
    <row r="28" spans="1:23" ht="14.4">
      <c r="A28" s="1429">
        <f t="shared" si="0"/>
        <v>2031</v>
      </c>
      <c r="B28" s="1430">
        <f t="shared" ca="1" si="0"/>
        <v>79</v>
      </c>
      <c r="C28" s="1430">
        <f t="shared" ca="1" si="0"/>
        <v>66</v>
      </c>
      <c r="D28" s="1425">
        <v>0</v>
      </c>
      <c r="E28" s="1425">
        <v>0</v>
      </c>
      <c r="F28" s="1425">
        <v>0</v>
      </c>
      <c r="G28" s="1425">
        <v>0</v>
      </c>
      <c r="H28" s="1425">
        <v>0</v>
      </c>
      <c r="I28" s="1425">
        <v>0</v>
      </c>
      <c r="J28" s="1425">
        <v>0</v>
      </c>
      <c r="K28" s="1425">
        <v>0</v>
      </c>
      <c r="L28" s="1425">
        <v>0</v>
      </c>
      <c r="M28" s="1427">
        <f t="shared" si="1"/>
        <v>0</v>
      </c>
      <c r="N28" s="967">
        <f>I10</f>
        <v>128658.29999999999</v>
      </c>
      <c r="O28" s="1432">
        <f t="shared" si="2"/>
        <v>-128658.29999999999</v>
      </c>
    </row>
    <row r="29" spans="1:23" ht="14.4">
      <c r="A29" s="1433">
        <f t="shared" si="0"/>
        <v>2032</v>
      </c>
      <c r="B29" s="1424">
        <f t="shared" ca="1" si="0"/>
        <v>80</v>
      </c>
      <c r="C29" s="1424">
        <f t="shared" ca="1" si="0"/>
        <v>67</v>
      </c>
      <c r="D29" s="1425">
        <v>0</v>
      </c>
      <c r="E29" s="1425">
        <v>0</v>
      </c>
      <c r="F29" s="1425">
        <v>0</v>
      </c>
      <c r="G29" s="1425">
        <v>0</v>
      </c>
      <c r="H29" s="1425">
        <v>0</v>
      </c>
      <c r="I29" s="1425">
        <v>0</v>
      </c>
      <c r="J29" s="1425">
        <v>0</v>
      </c>
      <c r="K29" s="1425">
        <v>0</v>
      </c>
      <c r="L29" s="1425">
        <v>0</v>
      </c>
      <c r="M29" s="1427">
        <f t="shared" si="1"/>
        <v>0</v>
      </c>
      <c r="N29" s="967">
        <f>I10</f>
        <v>128658.29999999999</v>
      </c>
      <c r="O29" s="1432">
        <f t="shared" si="2"/>
        <v>-128658.29999999999</v>
      </c>
    </row>
    <row r="30" spans="1:23" ht="14.4">
      <c r="A30" s="1429">
        <f t="shared" si="0"/>
        <v>2033</v>
      </c>
      <c r="B30" s="1434">
        <f t="shared" ca="1" si="0"/>
        <v>81</v>
      </c>
      <c r="C30" s="1434">
        <f t="shared" ca="1" si="0"/>
        <v>68</v>
      </c>
      <c r="D30" s="1425">
        <v>0</v>
      </c>
      <c r="E30" s="1425">
        <v>0</v>
      </c>
      <c r="F30" s="1425">
        <v>0</v>
      </c>
      <c r="G30" s="1425">
        <v>0</v>
      </c>
      <c r="H30" s="1425">
        <v>0</v>
      </c>
      <c r="I30" s="1425">
        <v>0</v>
      </c>
      <c r="J30" s="1425">
        <v>0</v>
      </c>
      <c r="K30" s="1425">
        <v>0</v>
      </c>
      <c r="L30" s="1425">
        <v>0</v>
      </c>
      <c r="M30" s="1427">
        <f t="shared" si="1"/>
        <v>0</v>
      </c>
      <c r="N30" s="967">
        <f>I10</f>
        <v>128658.29999999999</v>
      </c>
      <c r="O30" s="1432">
        <f t="shared" si="2"/>
        <v>-128658.29999999999</v>
      </c>
    </row>
    <row r="31" spans="1:23" ht="14.4">
      <c r="A31" s="1429">
        <f t="shared" si="0"/>
        <v>2034</v>
      </c>
      <c r="B31" s="1424">
        <f t="shared" ca="1" si="0"/>
        <v>82</v>
      </c>
      <c r="C31" s="1424">
        <f t="shared" ca="1" si="0"/>
        <v>69</v>
      </c>
      <c r="D31" s="1425">
        <v>0</v>
      </c>
      <c r="E31" s="1425">
        <v>0</v>
      </c>
      <c r="F31" s="1425">
        <v>0</v>
      </c>
      <c r="G31" s="1425">
        <v>0</v>
      </c>
      <c r="H31" s="1425">
        <v>0</v>
      </c>
      <c r="I31" s="1425">
        <v>0</v>
      </c>
      <c r="J31" s="1425">
        <v>0</v>
      </c>
      <c r="K31" s="1425">
        <v>0</v>
      </c>
      <c r="L31" s="1425">
        <v>0</v>
      </c>
      <c r="M31" s="1427">
        <f t="shared" si="1"/>
        <v>0</v>
      </c>
      <c r="N31" s="967">
        <f>I10</f>
        <v>128658.29999999999</v>
      </c>
      <c r="O31" s="1432">
        <f t="shared" si="2"/>
        <v>-128658.29999999999</v>
      </c>
    </row>
    <row r="32" spans="1:23" ht="14.4">
      <c r="A32" s="1429">
        <f t="shared" si="0"/>
        <v>2035</v>
      </c>
      <c r="B32" s="1424">
        <f t="shared" ca="1" si="0"/>
        <v>83</v>
      </c>
      <c r="C32" s="1424">
        <f t="shared" ca="1" si="0"/>
        <v>70</v>
      </c>
      <c r="D32" s="1425">
        <v>0</v>
      </c>
      <c r="E32" s="1425">
        <v>0</v>
      </c>
      <c r="F32" s="1425">
        <v>0</v>
      </c>
      <c r="G32" s="1425">
        <v>0</v>
      </c>
      <c r="H32" s="1425">
        <v>0</v>
      </c>
      <c r="I32" s="1425">
        <v>0</v>
      </c>
      <c r="J32" s="1425">
        <v>0</v>
      </c>
      <c r="K32" s="1425">
        <v>0</v>
      </c>
      <c r="L32" s="1425">
        <v>0</v>
      </c>
      <c r="M32" s="1427">
        <f t="shared" si="1"/>
        <v>0</v>
      </c>
      <c r="N32" s="967">
        <f>I10</f>
        <v>128658.29999999999</v>
      </c>
      <c r="O32" s="1432">
        <f t="shared" si="2"/>
        <v>-128658.29999999999</v>
      </c>
    </row>
    <row r="33" spans="1:15" ht="14.4">
      <c r="A33" s="1429">
        <f t="shared" si="0"/>
        <v>2036</v>
      </c>
      <c r="B33" s="1424">
        <f t="shared" ca="1" si="0"/>
        <v>84</v>
      </c>
      <c r="C33" s="1424">
        <f t="shared" ca="1" si="0"/>
        <v>71</v>
      </c>
      <c r="D33" s="1425">
        <v>0</v>
      </c>
      <c r="E33" s="1425">
        <v>0</v>
      </c>
      <c r="F33" s="1425">
        <v>0</v>
      </c>
      <c r="G33" s="1425">
        <v>0</v>
      </c>
      <c r="H33" s="1425">
        <v>0</v>
      </c>
      <c r="I33" s="1425">
        <v>0</v>
      </c>
      <c r="J33" s="1425">
        <v>0</v>
      </c>
      <c r="K33" s="1425">
        <v>0</v>
      </c>
      <c r="L33" s="1425">
        <v>0</v>
      </c>
      <c r="M33" s="1427">
        <f t="shared" si="1"/>
        <v>0</v>
      </c>
      <c r="N33" s="967">
        <f>I10</f>
        <v>128658.29999999999</v>
      </c>
      <c r="O33" s="1432">
        <f t="shared" si="2"/>
        <v>-128658.29999999999</v>
      </c>
    </row>
    <row r="34" spans="1:15" ht="14.4">
      <c r="A34" s="1429">
        <f t="shared" si="0"/>
        <v>2037</v>
      </c>
      <c r="B34" s="1424">
        <f t="shared" ca="1" si="0"/>
        <v>85</v>
      </c>
      <c r="C34" s="1424">
        <f t="shared" ca="1" si="0"/>
        <v>72</v>
      </c>
      <c r="D34" s="1425">
        <v>0</v>
      </c>
      <c r="E34" s="1425">
        <v>0</v>
      </c>
      <c r="F34" s="1425">
        <v>0</v>
      </c>
      <c r="G34" s="1425">
        <v>0</v>
      </c>
      <c r="H34" s="1425">
        <v>0</v>
      </c>
      <c r="I34" s="1425">
        <v>0</v>
      </c>
      <c r="J34" s="1425">
        <v>0</v>
      </c>
      <c r="K34" s="1425">
        <v>0</v>
      </c>
      <c r="L34" s="1425">
        <v>0</v>
      </c>
      <c r="M34" s="1427">
        <f t="shared" si="1"/>
        <v>0</v>
      </c>
      <c r="N34" s="967">
        <f>I10</f>
        <v>128658.29999999999</v>
      </c>
      <c r="O34" s="1432">
        <f t="shared" si="2"/>
        <v>-128658.29999999999</v>
      </c>
    </row>
    <row r="35" spans="1:15" ht="14.4">
      <c r="A35" s="1429">
        <f t="shared" si="0"/>
        <v>2038</v>
      </c>
      <c r="B35" s="1424">
        <f t="shared" ca="1" si="0"/>
        <v>86</v>
      </c>
      <c r="C35" s="1424">
        <f t="shared" ca="1" si="0"/>
        <v>73</v>
      </c>
      <c r="D35" s="1425">
        <v>0</v>
      </c>
      <c r="E35" s="1425">
        <v>0</v>
      </c>
      <c r="F35" s="1425">
        <v>0</v>
      </c>
      <c r="G35" s="1425">
        <v>0</v>
      </c>
      <c r="H35" s="1425">
        <v>0</v>
      </c>
      <c r="I35" s="1425">
        <v>0</v>
      </c>
      <c r="J35" s="1425">
        <v>0</v>
      </c>
      <c r="K35" s="1425">
        <v>0</v>
      </c>
      <c r="L35" s="1425">
        <v>0</v>
      </c>
      <c r="M35" s="1427">
        <f t="shared" si="1"/>
        <v>0</v>
      </c>
      <c r="N35" s="967">
        <f>I10</f>
        <v>128658.29999999999</v>
      </c>
      <c r="O35" s="1432">
        <f t="shared" si="2"/>
        <v>-128658.29999999999</v>
      </c>
    </row>
    <row r="36" spans="1:15" ht="14.4">
      <c r="A36" s="1429">
        <f t="shared" si="0"/>
        <v>2039</v>
      </c>
      <c r="B36" s="1424">
        <f t="shared" ca="1" si="0"/>
        <v>87</v>
      </c>
      <c r="C36" s="1424">
        <f t="shared" ca="1" si="0"/>
        <v>74</v>
      </c>
      <c r="D36" s="1425">
        <v>0</v>
      </c>
      <c r="E36" s="1425">
        <v>0</v>
      </c>
      <c r="F36" s="1425">
        <v>0</v>
      </c>
      <c r="G36" s="1425">
        <v>0</v>
      </c>
      <c r="H36" s="1425">
        <v>0</v>
      </c>
      <c r="I36" s="1425">
        <v>0</v>
      </c>
      <c r="J36" s="1425">
        <v>0</v>
      </c>
      <c r="K36" s="1425">
        <v>0</v>
      </c>
      <c r="L36" s="1425">
        <v>0</v>
      </c>
      <c r="M36" s="1427">
        <f t="shared" si="1"/>
        <v>0</v>
      </c>
      <c r="N36" s="967">
        <f>I10</f>
        <v>128658.29999999999</v>
      </c>
      <c r="O36" s="1432">
        <f t="shared" si="2"/>
        <v>-128658.29999999999</v>
      </c>
    </row>
    <row r="37" spans="1:15" ht="14.4">
      <c r="A37" s="1429">
        <f t="shared" si="0"/>
        <v>2040</v>
      </c>
      <c r="B37" s="1424">
        <f t="shared" ca="1" si="0"/>
        <v>88</v>
      </c>
      <c r="C37" s="1424">
        <f t="shared" ca="1" si="0"/>
        <v>75</v>
      </c>
      <c r="D37" s="1425">
        <v>0</v>
      </c>
      <c r="E37" s="1425">
        <v>0</v>
      </c>
      <c r="F37" s="1425">
        <v>0</v>
      </c>
      <c r="G37" s="1425">
        <v>0</v>
      </c>
      <c r="H37" s="1425">
        <v>0</v>
      </c>
      <c r="I37" s="1425">
        <v>0</v>
      </c>
      <c r="J37" s="1425">
        <v>0</v>
      </c>
      <c r="K37" s="1425">
        <v>0</v>
      </c>
      <c r="L37" s="1425">
        <v>0</v>
      </c>
      <c r="M37" s="1427">
        <f t="shared" si="1"/>
        <v>0</v>
      </c>
      <c r="N37" s="967">
        <f>I10</f>
        <v>128658.29999999999</v>
      </c>
      <c r="O37" s="1432">
        <f t="shared" si="2"/>
        <v>-128658.29999999999</v>
      </c>
    </row>
    <row r="38" spans="1:15" ht="14.4">
      <c r="A38" s="1433">
        <f t="shared" si="0"/>
        <v>2041</v>
      </c>
      <c r="B38" s="1424">
        <f t="shared" ca="1" si="0"/>
        <v>89</v>
      </c>
      <c r="C38" s="1435">
        <f t="shared" ca="1" si="0"/>
        <v>76</v>
      </c>
      <c r="D38" s="1425">
        <v>0</v>
      </c>
      <c r="E38" s="1425">
        <v>0</v>
      </c>
      <c r="F38" s="1425">
        <v>0</v>
      </c>
      <c r="G38" s="1425">
        <v>0</v>
      </c>
      <c r="H38" s="1425">
        <v>0</v>
      </c>
      <c r="I38" s="1425">
        <v>0</v>
      </c>
      <c r="J38" s="1425">
        <v>0</v>
      </c>
      <c r="K38" s="1425">
        <v>0</v>
      </c>
      <c r="L38" s="1425">
        <v>0</v>
      </c>
      <c r="M38" s="1427">
        <f t="shared" si="1"/>
        <v>0</v>
      </c>
      <c r="N38" s="967">
        <f>I10</f>
        <v>128658.29999999999</v>
      </c>
      <c r="O38" s="1432">
        <f t="shared" si="2"/>
        <v>-128658.29999999999</v>
      </c>
    </row>
    <row r="39" spans="1:15" ht="14.4">
      <c r="A39" s="1429">
        <f t="shared" si="0"/>
        <v>2042</v>
      </c>
      <c r="B39" s="1434">
        <f t="shared" ca="1" si="0"/>
        <v>90</v>
      </c>
      <c r="C39" s="1424">
        <f t="shared" ca="1" si="0"/>
        <v>77</v>
      </c>
      <c r="D39" s="1425">
        <v>0</v>
      </c>
      <c r="E39" s="1425">
        <v>0</v>
      </c>
      <c r="F39" s="1425">
        <v>0</v>
      </c>
      <c r="G39" s="1425">
        <v>0</v>
      </c>
      <c r="H39" s="1425">
        <v>0</v>
      </c>
      <c r="I39" s="1425">
        <v>0</v>
      </c>
      <c r="J39" s="1425">
        <v>0</v>
      </c>
      <c r="K39" s="1425">
        <v>0</v>
      </c>
      <c r="L39" s="1425">
        <v>0</v>
      </c>
      <c r="M39" s="1427">
        <f t="shared" si="1"/>
        <v>0</v>
      </c>
      <c r="N39" s="967">
        <f>I10</f>
        <v>128658.29999999999</v>
      </c>
      <c r="O39" s="1432">
        <f t="shared" si="2"/>
        <v>-128658.29999999999</v>
      </c>
    </row>
    <row r="40" spans="1:15" ht="14.4">
      <c r="A40" s="1429">
        <f t="shared" ref="A40:C52" si="3">A39+1</f>
        <v>2043</v>
      </c>
      <c r="B40" s="1424">
        <f t="shared" ca="1" si="3"/>
        <v>91</v>
      </c>
      <c r="C40" s="1424">
        <f t="shared" ca="1" si="3"/>
        <v>78</v>
      </c>
      <c r="D40" s="1425">
        <v>0</v>
      </c>
      <c r="E40" s="1425">
        <v>0</v>
      </c>
      <c r="F40" s="1425">
        <v>0</v>
      </c>
      <c r="G40" s="1425">
        <v>0</v>
      </c>
      <c r="H40" s="1425">
        <v>0</v>
      </c>
      <c r="I40" s="1425">
        <v>0</v>
      </c>
      <c r="J40" s="1425">
        <v>0</v>
      </c>
      <c r="K40" s="1425">
        <v>0</v>
      </c>
      <c r="L40" s="1425">
        <v>0</v>
      </c>
      <c r="M40" s="1427">
        <f t="shared" si="1"/>
        <v>0</v>
      </c>
      <c r="N40" s="967">
        <f>I10</f>
        <v>128658.29999999999</v>
      </c>
      <c r="O40" s="1432">
        <f>M40-N41</f>
        <v>-128658.29999999999</v>
      </c>
    </row>
    <row r="41" spans="1:15" ht="14.4">
      <c r="A41" s="1429">
        <f>A40+1</f>
        <v>2044</v>
      </c>
      <c r="B41" s="1424">
        <f ca="1">B40+1</f>
        <v>92</v>
      </c>
      <c r="C41" s="1424">
        <f ca="1">C40+1</f>
        <v>79</v>
      </c>
      <c r="D41" s="1425">
        <v>0</v>
      </c>
      <c r="E41" s="1425">
        <v>0</v>
      </c>
      <c r="F41" s="1425">
        <v>0</v>
      </c>
      <c r="G41" s="1425">
        <v>0</v>
      </c>
      <c r="H41" s="1425">
        <v>0</v>
      </c>
      <c r="I41" s="1425">
        <v>0</v>
      </c>
      <c r="J41" s="1425">
        <v>0</v>
      </c>
      <c r="K41" s="1425">
        <v>0</v>
      </c>
      <c r="L41" s="1425">
        <v>0</v>
      </c>
      <c r="M41" s="1436">
        <f t="shared" ref="M41:M57" si="4">SUM(D41+E41+F41+G41+H41+I41+J41+L41)</f>
        <v>0</v>
      </c>
      <c r="N41" s="967">
        <f>I10</f>
        <v>128658.29999999999</v>
      </c>
      <c r="O41" s="1432">
        <f t="shared" si="2"/>
        <v>-128658.29999999999</v>
      </c>
    </row>
    <row r="42" spans="1:15" ht="14.4">
      <c r="A42" s="1429">
        <f t="shared" si="3"/>
        <v>2045</v>
      </c>
      <c r="B42" s="1424">
        <f t="shared" ca="1" si="3"/>
        <v>93</v>
      </c>
      <c r="C42" s="1424">
        <f t="shared" ca="1" si="3"/>
        <v>80</v>
      </c>
      <c r="D42" s="1425">
        <v>0</v>
      </c>
      <c r="E42" s="1425">
        <v>0</v>
      </c>
      <c r="F42" s="1425">
        <v>0</v>
      </c>
      <c r="G42" s="1425">
        <v>0</v>
      </c>
      <c r="H42" s="1425">
        <v>0</v>
      </c>
      <c r="I42" s="1425">
        <v>0</v>
      </c>
      <c r="J42" s="1425">
        <v>0</v>
      </c>
      <c r="K42" s="1425">
        <v>0</v>
      </c>
      <c r="L42" s="1425">
        <v>0</v>
      </c>
      <c r="M42" s="1425">
        <f t="shared" si="4"/>
        <v>0</v>
      </c>
      <c r="N42" s="967">
        <f>I10</f>
        <v>128658.29999999999</v>
      </c>
      <c r="O42" s="1432">
        <f t="shared" si="2"/>
        <v>-128658.29999999999</v>
      </c>
    </row>
    <row r="43" spans="1:15" ht="14.4">
      <c r="A43" s="1429">
        <f t="shared" si="3"/>
        <v>2046</v>
      </c>
      <c r="B43" s="1424">
        <f t="shared" ca="1" si="3"/>
        <v>94</v>
      </c>
      <c r="C43" s="1424">
        <f t="shared" ca="1" si="3"/>
        <v>81</v>
      </c>
      <c r="D43" s="1425">
        <v>0</v>
      </c>
      <c r="E43" s="1425">
        <v>0</v>
      </c>
      <c r="F43" s="1425">
        <v>0</v>
      </c>
      <c r="G43" s="1425">
        <v>0</v>
      </c>
      <c r="H43" s="1425">
        <v>0</v>
      </c>
      <c r="I43" s="1425">
        <v>0</v>
      </c>
      <c r="J43" s="1425">
        <v>0</v>
      </c>
      <c r="K43" s="1425">
        <v>0</v>
      </c>
      <c r="L43" s="1425">
        <v>0</v>
      </c>
      <c r="M43" s="1437">
        <f t="shared" si="4"/>
        <v>0</v>
      </c>
      <c r="N43" s="967">
        <f>I10</f>
        <v>128658.29999999999</v>
      </c>
      <c r="O43" s="1432">
        <f t="shared" si="2"/>
        <v>-128658.29999999999</v>
      </c>
    </row>
    <row r="44" spans="1:15" ht="14.4">
      <c r="A44" s="1429">
        <f t="shared" si="3"/>
        <v>2047</v>
      </c>
      <c r="B44" s="1424">
        <f t="shared" ca="1" si="3"/>
        <v>95</v>
      </c>
      <c r="C44" s="1424">
        <f t="shared" ca="1" si="3"/>
        <v>82</v>
      </c>
      <c r="D44" s="1425">
        <v>0</v>
      </c>
      <c r="E44" s="1425">
        <v>0</v>
      </c>
      <c r="F44" s="1425">
        <v>0</v>
      </c>
      <c r="G44" s="1425">
        <v>0</v>
      </c>
      <c r="H44" s="1425">
        <v>0</v>
      </c>
      <c r="I44" s="1425">
        <v>0</v>
      </c>
      <c r="J44" s="1425">
        <v>0</v>
      </c>
      <c r="K44" s="1425">
        <v>0</v>
      </c>
      <c r="L44" s="1425">
        <v>0</v>
      </c>
      <c r="M44" s="1437">
        <f t="shared" si="4"/>
        <v>0</v>
      </c>
      <c r="N44" s="967">
        <f>I10</f>
        <v>128658.29999999999</v>
      </c>
      <c r="O44" s="1432">
        <f>M44-N49</f>
        <v>-128658.29999999999</v>
      </c>
    </row>
    <row r="45" spans="1:15" ht="12.45">
      <c r="A45" s="1661"/>
      <c r="B45" s="1662"/>
      <c r="C45" s="1662"/>
      <c r="D45" s="1662"/>
      <c r="E45" s="1662"/>
      <c r="F45" s="1662"/>
      <c r="G45" s="1662"/>
      <c r="H45" s="1662"/>
      <c r="I45" s="1662"/>
      <c r="J45" s="1662"/>
      <c r="K45" s="1662"/>
      <c r="L45" s="1662"/>
      <c r="M45" s="1662"/>
      <c r="N45" s="1662"/>
      <c r="O45" s="1663"/>
    </row>
    <row r="46" spans="1:15" ht="23.6">
      <c r="A46" s="1664" t="s">
        <v>391</v>
      </c>
      <c r="B46" s="1665"/>
      <c r="C46" s="1665"/>
      <c r="D46" s="1665"/>
      <c r="E46" s="1665"/>
      <c r="F46" s="1665"/>
      <c r="G46" s="1665"/>
      <c r="H46" s="1665"/>
      <c r="I46" s="1665"/>
      <c r="J46" s="1665"/>
      <c r="K46" s="1665"/>
      <c r="L46" s="1665"/>
      <c r="M46" s="1665"/>
      <c r="N46" s="1665"/>
      <c r="O46" s="1665"/>
    </row>
    <row r="47" spans="1:15" ht="15.05" thickBot="1">
      <c r="A47" s="1438"/>
      <c r="B47" s="1439"/>
      <c r="C47" s="1439"/>
      <c r="D47" s="1440"/>
      <c r="E47" s="1440"/>
      <c r="F47" s="1440"/>
      <c r="G47" s="1440"/>
      <c r="H47" s="1440"/>
      <c r="I47" s="1440"/>
      <c r="J47" s="1440"/>
      <c r="K47" s="1440"/>
      <c r="L47" s="1440"/>
      <c r="M47" s="1440"/>
      <c r="N47" s="1441"/>
      <c r="O47" s="1442"/>
    </row>
    <row r="48" spans="1:15" ht="19" thickBot="1">
      <c r="A48" s="1666" t="s">
        <v>392</v>
      </c>
      <c r="B48" s="1667"/>
      <c r="C48" s="1667"/>
      <c r="D48" s="1667"/>
      <c r="E48" s="1667"/>
      <c r="F48" s="1667"/>
      <c r="G48" s="1667"/>
      <c r="H48" s="1667"/>
      <c r="I48" s="1667"/>
      <c r="J48" s="1667"/>
      <c r="K48" s="1667"/>
      <c r="L48" s="1667"/>
      <c r="M48" s="1667"/>
      <c r="N48" s="1667"/>
      <c r="O48" s="1668"/>
    </row>
    <row r="49" spans="1:23" ht="15.05" thickBot="1">
      <c r="A49" s="1443">
        <f>A44+1</f>
        <v>2048</v>
      </c>
      <c r="B49" s="1444">
        <f ca="1">B44+1</f>
        <v>96</v>
      </c>
      <c r="C49" s="1445">
        <f ca="1">C44+1</f>
        <v>83</v>
      </c>
      <c r="D49" s="1425">
        <v>0</v>
      </c>
      <c r="E49" s="1425">
        <v>0</v>
      </c>
      <c r="F49" s="1425">
        <v>0</v>
      </c>
      <c r="G49" s="1425">
        <v>0</v>
      </c>
      <c r="H49" s="1437">
        <v>0</v>
      </c>
      <c r="I49" s="1425">
        <v>0</v>
      </c>
      <c r="J49" s="1437">
        <v>0</v>
      </c>
      <c r="K49" s="1437">
        <v>0</v>
      </c>
      <c r="L49" s="1425">
        <v>0</v>
      </c>
      <c r="M49" s="1425">
        <f t="shared" si="4"/>
        <v>0</v>
      </c>
      <c r="N49" s="967">
        <f>I10</f>
        <v>128658.29999999999</v>
      </c>
      <c r="O49" s="1432">
        <f t="shared" si="2"/>
        <v>-128658.29999999999</v>
      </c>
    </row>
    <row r="50" spans="1:23" ht="14.4">
      <c r="A50" s="1429">
        <f t="shared" si="3"/>
        <v>2049</v>
      </c>
      <c r="B50" s="1434">
        <f t="shared" ca="1" si="3"/>
        <v>97</v>
      </c>
      <c r="C50" s="1424">
        <f t="shared" ca="1" si="3"/>
        <v>84</v>
      </c>
      <c r="D50" s="1425">
        <v>0</v>
      </c>
      <c r="E50" s="1425">
        <v>0</v>
      </c>
      <c r="F50" s="1425">
        <v>0</v>
      </c>
      <c r="G50" s="1425">
        <v>0</v>
      </c>
      <c r="H50" s="1437">
        <v>0</v>
      </c>
      <c r="I50" s="1425">
        <v>0</v>
      </c>
      <c r="J50" s="1437">
        <v>0</v>
      </c>
      <c r="K50" s="1437">
        <v>0</v>
      </c>
      <c r="L50" s="1425">
        <v>0</v>
      </c>
      <c r="M50" s="1425">
        <f t="shared" si="4"/>
        <v>0</v>
      </c>
      <c r="N50" s="967">
        <f>I10</f>
        <v>128658.29999999999</v>
      </c>
      <c r="O50" s="1432">
        <f t="shared" si="2"/>
        <v>-128658.29999999999</v>
      </c>
    </row>
    <row r="51" spans="1:23" ht="14.4">
      <c r="A51" s="1429">
        <f t="shared" si="3"/>
        <v>2050</v>
      </c>
      <c r="B51" s="1424">
        <f t="shared" ca="1" si="3"/>
        <v>98</v>
      </c>
      <c r="C51" s="1424">
        <f t="shared" ca="1" si="3"/>
        <v>85</v>
      </c>
      <c r="D51" s="1425">
        <v>0</v>
      </c>
      <c r="E51" s="1425">
        <v>0</v>
      </c>
      <c r="F51" s="1425">
        <v>0</v>
      </c>
      <c r="G51" s="1425">
        <v>0</v>
      </c>
      <c r="H51" s="1437">
        <v>0</v>
      </c>
      <c r="I51" s="1425">
        <v>0</v>
      </c>
      <c r="J51" s="1437">
        <v>0</v>
      </c>
      <c r="K51" s="1437">
        <v>0</v>
      </c>
      <c r="L51" s="1425">
        <v>0</v>
      </c>
      <c r="M51" s="1425">
        <f t="shared" si="4"/>
        <v>0</v>
      </c>
      <c r="N51" s="967">
        <f>I10</f>
        <v>128658.29999999999</v>
      </c>
      <c r="O51" s="1432">
        <f t="shared" si="2"/>
        <v>-128658.29999999999</v>
      </c>
    </row>
    <row r="52" spans="1:23" ht="15.05" thickBot="1">
      <c r="A52" s="1446">
        <f t="shared" si="3"/>
        <v>2051</v>
      </c>
      <c r="B52" s="1430">
        <f t="shared" ca="1" si="3"/>
        <v>99</v>
      </c>
      <c r="C52" s="1430">
        <f t="shared" ca="1" si="3"/>
        <v>86</v>
      </c>
      <c r="D52" s="1425">
        <v>0</v>
      </c>
      <c r="E52" s="1425">
        <v>0</v>
      </c>
      <c r="F52" s="1447">
        <v>0</v>
      </c>
      <c r="G52" s="1447">
        <v>0</v>
      </c>
      <c r="H52" s="1437">
        <v>0</v>
      </c>
      <c r="I52" s="1425">
        <v>0</v>
      </c>
      <c r="J52" s="1437">
        <v>0</v>
      </c>
      <c r="K52" s="1437">
        <v>0</v>
      </c>
      <c r="L52" s="1425">
        <v>0</v>
      </c>
      <c r="M52" s="1425">
        <f t="shared" si="4"/>
        <v>0</v>
      </c>
      <c r="N52" s="984">
        <f>I10</f>
        <v>128658.29999999999</v>
      </c>
      <c r="O52" s="1448">
        <f>M52-N54</f>
        <v>-128658.29999999999</v>
      </c>
    </row>
    <row r="53" spans="1:23" ht="19" thickBot="1">
      <c r="A53" s="1669" t="s">
        <v>393</v>
      </c>
      <c r="B53" s="1670"/>
      <c r="C53" s="1670"/>
      <c r="D53" s="1670"/>
      <c r="E53" s="1670"/>
      <c r="F53" s="1670"/>
      <c r="G53" s="1670"/>
      <c r="H53" s="1670"/>
      <c r="I53" s="1670"/>
      <c r="J53" s="1670"/>
      <c r="K53" s="1670"/>
      <c r="L53" s="1670"/>
      <c r="M53" s="1670"/>
      <c r="N53" s="1670"/>
      <c r="O53" s="1671"/>
      <c r="P53" s="1354"/>
      <c r="Q53" s="1355"/>
      <c r="R53" s="1355"/>
      <c r="S53" s="1355"/>
      <c r="T53" s="1355"/>
      <c r="U53" s="1355"/>
      <c r="V53" s="1355"/>
      <c r="W53" s="1355"/>
    </row>
    <row r="54" spans="1:23" ht="15.05" thickBot="1">
      <c r="A54" s="1449">
        <f>A52+1</f>
        <v>2052</v>
      </c>
      <c r="B54" s="1450">
        <f ca="1">B52+1</f>
        <v>100</v>
      </c>
      <c r="C54" s="1451">
        <f ca="1">C52+1</f>
        <v>87</v>
      </c>
      <c r="D54" s="1425">
        <v>0</v>
      </c>
      <c r="E54" s="1425">
        <v>0</v>
      </c>
      <c r="F54" s="1425">
        <v>0</v>
      </c>
      <c r="G54" s="1425">
        <v>0</v>
      </c>
      <c r="H54" s="1437">
        <v>0</v>
      </c>
      <c r="I54" s="1425">
        <v>0</v>
      </c>
      <c r="J54" s="1437">
        <v>0</v>
      </c>
      <c r="K54" s="1437">
        <v>0</v>
      </c>
      <c r="L54" s="1425">
        <v>0</v>
      </c>
      <c r="M54" s="1425">
        <f t="shared" si="4"/>
        <v>0</v>
      </c>
      <c r="N54" s="967">
        <f>I10</f>
        <v>128658.29999999999</v>
      </c>
      <c r="O54" s="1432">
        <f>M54-N55</f>
        <v>-128658.29999999999</v>
      </c>
    </row>
    <row r="55" spans="1:23" ht="13.1" customHeight="1">
      <c r="A55" s="1449">
        <f t="shared" ref="A55:C57" si="5">A54+1</f>
        <v>2053</v>
      </c>
      <c r="B55" s="1434">
        <f t="shared" ca="1" si="5"/>
        <v>101</v>
      </c>
      <c r="C55" s="1434">
        <f t="shared" ca="1" si="5"/>
        <v>88</v>
      </c>
      <c r="D55" s="1425">
        <v>0</v>
      </c>
      <c r="E55" s="1425">
        <v>0</v>
      </c>
      <c r="F55" s="1425">
        <v>0</v>
      </c>
      <c r="G55" s="1425">
        <v>0</v>
      </c>
      <c r="H55" s="1437">
        <v>0</v>
      </c>
      <c r="I55" s="1425">
        <v>0</v>
      </c>
      <c r="J55" s="1437">
        <v>0</v>
      </c>
      <c r="K55" s="1437">
        <v>0</v>
      </c>
      <c r="L55" s="1425">
        <v>0</v>
      </c>
      <c r="M55" s="1425">
        <f t="shared" si="4"/>
        <v>0</v>
      </c>
      <c r="N55" s="967">
        <f>I10</f>
        <v>128658.29999999999</v>
      </c>
      <c r="O55" s="1432">
        <f>M55-N55</f>
        <v>-128658.29999999999</v>
      </c>
    </row>
    <row r="56" spans="1:23" ht="13.1" customHeight="1">
      <c r="A56" s="1449">
        <f t="shared" si="5"/>
        <v>2054</v>
      </c>
      <c r="B56" s="1434">
        <f t="shared" ca="1" si="5"/>
        <v>102</v>
      </c>
      <c r="C56" s="1434">
        <f t="shared" ca="1" si="5"/>
        <v>89</v>
      </c>
      <c r="D56" s="1425">
        <v>0</v>
      </c>
      <c r="E56" s="1425">
        <v>0</v>
      </c>
      <c r="F56" s="1425">
        <v>0</v>
      </c>
      <c r="G56" s="1425">
        <v>0</v>
      </c>
      <c r="H56" s="1437">
        <v>0</v>
      </c>
      <c r="I56" s="1425">
        <v>0</v>
      </c>
      <c r="J56" s="1437">
        <v>0</v>
      </c>
      <c r="K56" s="1437">
        <v>0</v>
      </c>
      <c r="L56" s="1425">
        <v>0</v>
      </c>
      <c r="M56" s="1425">
        <f t="shared" si="4"/>
        <v>0</v>
      </c>
      <c r="N56" s="967">
        <f>I10</f>
        <v>128658.29999999999</v>
      </c>
      <c r="O56" s="1432">
        <f t="shared" ref="O56:O57" si="6">M56-N56</f>
        <v>-128658.29999999999</v>
      </c>
    </row>
    <row r="57" spans="1:23" ht="13.1" customHeight="1">
      <c r="A57" s="1449">
        <f t="shared" si="5"/>
        <v>2055</v>
      </c>
      <c r="B57" s="1434">
        <f t="shared" ca="1" si="5"/>
        <v>103</v>
      </c>
      <c r="C57" s="1434">
        <f t="shared" ca="1" si="5"/>
        <v>90</v>
      </c>
      <c r="D57" s="1425">
        <v>0</v>
      </c>
      <c r="E57" s="1425">
        <v>0</v>
      </c>
      <c r="F57" s="1425">
        <v>0</v>
      </c>
      <c r="G57" s="1425">
        <v>0</v>
      </c>
      <c r="H57" s="1437">
        <v>0</v>
      </c>
      <c r="I57" s="1425">
        <v>0</v>
      </c>
      <c r="J57" s="1437">
        <v>0</v>
      </c>
      <c r="K57" s="1437">
        <v>0</v>
      </c>
      <c r="L57" s="1425">
        <v>0</v>
      </c>
      <c r="M57" s="1425">
        <f t="shared" si="4"/>
        <v>0</v>
      </c>
      <c r="N57" s="967">
        <f>I10</f>
        <v>128658.29999999999</v>
      </c>
      <c r="O57" s="1432">
        <f t="shared" si="6"/>
        <v>-128658.29999999999</v>
      </c>
    </row>
    <row r="58" spans="1:23" ht="12.45">
      <c r="A58" s="1672"/>
      <c r="B58" s="1672"/>
      <c r="C58" s="1672"/>
      <c r="D58" s="1672"/>
      <c r="E58" s="1672"/>
      <c r="F58" s="1672"/>
      <c r="G58" s="1672"/>
      <c r="H58" s="1672"/>
      <c r="I58" s="1672"/>
      <c r="J58" s="1672"/>
      <c r="K58" s="1672"/>
      <c r="L58" s="1672"/>
      <c r="M58" s="1672"/>
      <c r="N58" s="1672"/>
      <c r="O58" s="1673"/>
    </row>
    <row r="59" spans="1:23" ht="23.6">
      <c r="A59" s="1674" t="s">
        <v>69</v>
      </c>
      <c r="B59" s="1674"/>
      <c r="C59" s="1674"/>
      <c r="D59" s="1674"/>
      <c r="E59" s="1674"/>
      <c r="F59" s="1674"/>
      <c r="G59" s="1674"/>
      <c r="H59" s="1674"/>
      <c r="I59" s="1674"/>
      <c r="J59" s="1674"/>
      <c r="K59" s="1674"/>
      <c r="L59" s="1674"/>
      <c r="M59" s="1674"/>
      <c r="N59" s="1674"/>
      <c r="O59" s="1674"/>
    </row>
    <row r="61" spans="1:23">
      <c r="A61" s="1660" t="s">
        <v>394</v>
      </c>
      <c r="B61" s="1660"/>
      <c r="C61" s="1660"/>
      <c r="D61" s="1660"/>
      <c r="E61" s="1660"/>
      <c r="F61" s="1660"/>
      <c r="G61" s="1660"/>
      <c r="H61" s="1660"/>
      <c r="I61" s="1660"/>
      <c r="J61" s="1660"/>
      <c r="K61" s="1660"/>
      <c r="L61" s="1660"/>
      <c r="M61" s="1660"/>
      <c r="N61" s="1660"/>
      <c r="O61" s="1660"/>
    </row>
    <row r="62" spans="1:23" ht="12.45">
      <c r="A62" s="1660" t="s">
        <v>71</v>
      </c>
      <c r="B62" s="1660"/>
      <c r="C62" s="1660"/>
      <c r="D62" s="1660"/>
      <c r="E62" s="1660"/>
      <c r="F62" s="1660"/>
      <c r="G62" s="1660"/>
      <c r="H62" s="1660"/>
      <c r="I62" s="1660"/>
      <c r="J62" s="1660"/>
      <c r="K62" s="1660"/>
      <c r="L62" s="1660"/>
      <c r="M62" s="1660"/>
      <c r="N62" s="1660"/>
      <c r="O62" s="1660"/>
    </row>
  </sheetData>
  <mergeCells count="32">
    <mergeCell ref="A16:O16"/>
    <mergeCell ref="A19:C19"/>
    <mergeCell ref="A7:C7"/>
    <mergeCell ref="E7:F7"/>
    <mergeCell ref="A1:D1"/>
    <mergeCell ref="F1:H1"/>
    <mergeCell ref="J1:L1"/>
    <mergeCell ref="A6:C6"/>
    <mergeCell ref="E6:F6"/>
    <mergeCell ref="A13:C13"/>
    <mergeCell ref="G13:H13"/>
    <mergeCell ref="J13:K13"/>
    <mergeCell ref="A14:O14"/>
    <mergeCell ref="A15:O15"/>
    <mergeCell ref="A10:D10"/>
    <mergeCell ref="J10:N10"/>
    <mergeCell ref="A12:C12"/>
    <mergeCell ref="G12:H12"/>
    <mergeCell ref="J12:O12"/>
    <mergeCell ref="A20:C20"/>
    <mergeCell ref="A61:O61"/>
    <mergeCell ref="A62:O62"/>
    <mergeCell ref="A45:O45"/>
    <mergeCell ref="A46:O46"/>
    <mergeCell ref="A48:O48"/>
    <mergeCell ref="A53:O53"/>
    <mergeCell ref="A58:O58"/>
    <mergeCell ref="A59:O59"/>
    <mergeCell ref="A21:A22"/>
    <mergeCell ref="B21:B22"/>
    <mergeCell ref="C21:C22"/>
    <mergeCell ref="D22:L2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5422223578601"/>
  </sheetPr>
  <dimension ref="A1:T42"/>
  <sheetViews>
    <sheetView showGridLines="0" workbookViewId="0"/>
  </sheetViews>
  <sheetFormatPr defaultColWidth="9.125" defaultRowHeight="13.1"/>
  <cols>
    <col min="1" max="1" width="7.625" style="89" customWidth="1"/>
    <col min="2" max="2" width="7.25" style="208" customWidth="1"/>
    <col min="3" max="3" width="13.875" style="71" customWidth="1"/>
    <col min="4" max="4" width="13.125" style="89" customWidth="1"/>
    <col min="5" max="5" width="11.875" style="89" customWidth="1"/>
    <col min="6" max="6" width="14.25" style="89" customWidth="1"/>
    <col min="7" max="7" width="13.75" style="89" customWidth="1"/>
    <col min="8" max="8" width="14.25" style="89" customWidth="1"/>
    <col min="9" max="9" width="16.75" style="89" customWidth="1"/>
    <col min="10" max="10" width="14.25" style="89" customWidth="1"/>
    <col min="11" max="11" width="16.75" style="89" customWidth="1"/>
    <col min="12" max="18" width="9.125" style="211"/>
    <col min="19" max="19" width="9.25" style="211" customWidth="1"/>
    <col min="20" max="20" width="9.125" style="211"/>
    <col min="21" max="16384" width="9.125" style="89"/>
  </cols>
  <sheetData>
    <row r="1" spans="1:20">
      <c r="I1" s="210"/>
      <c r="K1" s="210"/>
    </row>
    <row r="2" spans="1:20" ht="18.350000000000001">
      <c r="A2" s="302"/>
      <c r="B2" s="304"/>
      <c r="C2" s="1533"/>
      <c r="D2" s="1533"/>
      <c r="E2" s="1533"/>
      <c r="F2" s="1533"/>
      <c r="G2" s="1533"/>
      <c r="H2" s="1533"/>
      <c r="I2" s="437"/>
      <c r="J2" s="302"/>
      <c r="K2" s="437"/>
    </row>
    <row r="3" spans="1:20" ht="20.3">
      <c r="A3" s="302"/>
      <c r="B3" s="304"/>
      <c r="C3" s="1534" t="s">
        <v>24</v>
      </c>
      <c r="D3" s="1534"/>
      <c r="E3" s="1534"/>
      <c r="F3" s="1534"/>
      <c r="G3" s="1534"/>
      <c r="H3" s="1534"/>
      <c r="I3" s="877"/>
      <c r="J3" s="302"/>
      <c r="K3" s="877"/>
    </row>
    <row r="4" spans="1:20" ht="17.7">
      <c r="A4" s="302"/>
      <c r="B4" s="304"/>
      <c r="C4" s="434"/>
      <c r="D4" s="842"/>
      <c r="E4" s="878"/>
      <c r="F4" s="878"/>
      <c r="G4" s="1515"/>
      <c r="H4" s="1515"/>
      <c r="I4" s="301"/>
      <c r="J4" s="302"/>
      <c r="K4" s="301"/>
    </row>
    <row r="5" spans="1:20" ht="15.05">
      <c r="A5" s="302"/>
      <c r="B5" s="304"/>
      <c r="C5" s="434"/>
      <c r="D5" s="1535"/>
      <c r="E5" s="1535"/>
      <c r="F5" s="1535"/>
      <c r="G5" s="302"/>
      <c r="H5" s="879" t="s">
        <v>2</v>
      </c>
      <c r="I5" s="880"/>
      <c r="J5" s="302"/>
      <c r="K5" s="880"/>
    </row>
    <row r="6" spans="1:20" ht="15.05">
      <c r="A6" s="302"/>
      <c r="B6" s="304"/>
      <c r="C6" s="434"/>
      <c r="D6" s="1536" t="s">
        <v>25</v>
      </c>
      <c r="E6" s="1536"/>
      <c r="F6" s="1536"/>
      <c r="G6" s="1536"/>
      <c r="H6" s="1536"/>
      <c r="I6" s="880"/>
      <c r="J6" s="302"/>
      <c r="K6" s="880"/>
    </row>
    <row r="7" spans="1:20">
      <c r="A7" s="305"/>
      <c r="B7" s="304"/>
      <c r="C7" s="434"/>
      <c r="D7" s="1535"/>
      <c r="E7" s="1535"/>
      <c r="F7" s="1535"/>
      <c r="G7" s="1535"/>
      <c r="H7" s="302"/>
      <c r="I7" s="303"/>
      <c r="J7" s="302"/>
      <c r="K7" s="303"/>
    </row>
    <row r="8" spans="1:20" s="37" customFormat="1" ht="100" customHeight="1">
      <c r="A8" s="212" t="s">
        <v>26</v>
      </c>
      <c r="B8" s="212" t="s">
        <v>27</v>
      </c>
      <c r="C8" s="139" t="s">
        <v>28</v>
      </c>
      <c r="D8" s="139" t="s">
        <v>29</v>
      </c>
      <c r="E8" s="881" t="s">
        <v>30</v>
      </c>
      <c r="F8" s="36"/>
      <c r="G8" s="36"/>
      <c r="H8" s="36"/>
      <c r="I8" s="149" t="s">
        <v>31</v>
      </c>
      <c r="J8" s="882" t="s">
        <v>32</v>
      </c>
      <c r="K8" s="883" t="s">
        <v>33</v>
      </c>
      <c r="L8" s="213"/>
      <c r="M8" s="213"/>
      <c r="N8" s="213"/>
      <c r="O8" s="213"/>
      <c r="P8" s="213"/>
      <c r="Q8" s="213"/>
      <c r="R8" s="213"/>
      <c r="S8" s="213"/>
      <c r="T8" s="213"/>
    </row>
    <row r="9" spans="1:20" hidden="1">
      <c r="A9" s="144">
        <v>2009</v>
      </c>
      <c r="B9" s="144">
        <v>56</v>
      </c>
      <c r="C9" s="214">
        <v>0</v>
      </c>
      <c r="D9" s="215">
        <v>0</v>
      </c>
      <c r="E9" s="216">
        <v>0</v>
      </c>
      <c r="F9" s="216">
        <v>0</v>
      </c>
      <c r="G9" s="216">
        <v>0</v>
      </c>
      <c r="H9" s="215">
        <v>0</v>
      </c>
      <c r="I9" s="44">
        <f>SUM(C9:H9)</f>
        <v>0</v>
      </c>
      <c r="J9" s="215">
        <v>0</v>
      </c>
      <c r="K9" s="44">
        <f>SUM(E9:J9)</f>
        <v>0</v>
      </c>
    </row>
    <row r="10" spans="1:20" ht="100" customHeight="1">
      <c r="A10" s="1532" t="s">
        <v>34</v>
      </c>
      <c r="B10" s="1532"/>
      <c r="C10" s="294" t="s">
        <v>35</v>
      </c>
      <c r="D10" s="294" t="s">
        <v>36</v>
      </c>
      <c r="E10" s="884" t="s">
        <v>37</v>
      </c>
      <c r="F10" s="293"/>
      <c r="G10" s="299"/>
      <c r="H10" s="299"/>
      <c r="I10" s="218" t="s">
        <v>38</v>
      </c>
      <c r="J10" s="885" t="s">
        <v>39</v>
      </c>
      <c r="K10" s="886" t="s">
        <v>40</v>
      </c>
    </row>
    <row r="11" spans="1:20">
      <c r="A11" s="119">
        <v>2018</v>
      </c>
      <c r="B11" s="155">
        <v>59</v>
      </c>
      <c r="C11" s="887">
        <v>0</v>
      </c>
      <c r="D11" s="219">
        <v>64000</v>
      </c>
      <c r="E11" s="219">
        <v>0</v>
      </c>
      <c r="F11" s="219">
        <v>0</v>
      </c>
      <c r="G11" s="219">
        <v>0</v>
      </c>
      <c r="H11" s="219">
        <v>0</v>
      </c>
      <c r="I11" s="190">
        <f t="shared" ref="I11:I38" si="0">SUM(C11:H11)</f>
        <v>64000</v>
      </c>
      <c r="J11" s="219">
        <v>0</v>
      </c>
      <c r="K11" s="190">
        <f t="shared" ref="K11:K17" si="1">SUM(E11:J11)</f>
        <v>64000</v>
      </c>
    </row>
    <row r="12" spans="1:20">
      <c r="A12" s="119">
        <f t="shared" ref="A12:B27" si="2">A11+1</f>
        <v>2019</v>
      </c>
      <c r="B12" s="144">
        <f t="shared" si="2"/>
        <v>60</v>
      </c>
      <c r="C12" s="887">
        <v>0</v>
      </c>
      <c r="D12" s="219">
        <v>64000</v>
      </c>
      <c r="E12" s="219">
        <v>0</v>
      </c>
      <c r="F12" s="219">
        <v>0</v>
      </c>
      <c r="G12" s="219">
        <v>0</v>
      </c>
      <c r="H12" s="219">
        <v>0</v>
      </c>
      <c r="I12" s="190">
        <f t="shared" si="0"/>
        <v>64000</v>
      </c>
      <c r="J12" s="219">
        <v>0</v>
      </c>
      <c r="K12" s="190">
        <f t="shared" si="1"/>
        <v>64000</v>
      </c>
    </row>
    <row r="13" spans="1:20">
      <c r="A13" s="155">
        <f t="shared" si="2"/>
        <v>2020</v>
      </c>
      <c r="B13" s="119">
        <f t="shared" si="2"/>
        <v>61</v>
      </c>
      <c r="C13" s="887">
        <v>0</v>
      </c>
      <c r="D13" s="219">
        <v>64000</v>
      </c>
      <c r="E13" s="219">
        <v>0</v>
      </c>
      <c r="F13" s="219">
        <v>0</v>
      </c>
      <c r="G13" s="219">
        <v>0</v>
      </c>
      <c r="H13" s="219">
        <v>0</v>
      </c>
      <c r="I13" s="190">
        <f t="shared" si="0"/>
        <v>64000</v>
      </c>
      <c r="J13" s="219">
        <v>0</v>
      </c>
      <c r="K13" s="190">
        <f t="shared" si="1"/>
        <v>64000</v>
      </c>
    </row>
    <row r="14" spans="1:20">
      <c r="A14" s="119">
        <f t="shared" si="2"/>
        <v>2021</v>
      </c>
      <c r="B14" s="137">
        <f t="shared" si="2"/>
        <v>62</v>
      </c>
      <c r="C14" s="887">
        <v>0</v>
      </c>
      <c r="D14" s="219">
        <v>64000</v>
      </c>
      <c r="E14" s="219">
        <v>0</v>
      </c>
      <c r="F14" s="219">
        <v>0</v>
      </c>
      <c r="G14" s="219">
        <v>0</v>
      </c>
      <c r="H14" s="219">
        <v>0</v>
      </c>
      <c r="I14" s="190">
        <f t="shared" si="0"/>
        <v>64000</v>
      </c>
      <c r="J14" s="219">
        <v>0</v>
      </c>
      <c r="K14" s="190">
        <f t="shared" si="1"/>
        <v>64000</v>
      </c>
    </row>
    <row r="15" spans="1:20">
      <c r="A15" s="119">
        <f t="shared" si="2"/>
        <v>2022</v>
      </c>
      <c r="B15" s="119">
        <f t="shared" si="2"/>
        <v>63</v>
      </c>
      <c r="C15" s="887">
        <v>0</v>
      </c>
      <c r="D15" s="219">
        <v>64000</v>
      </c>
      <c r="E15" s="219">
        <v>0</v>
      </c>
      <c r="F15" s="219">
        <v>0</v>
      </c>
      <c r="G15" s="219">
        <v>0</v>
      </c>
      <c r="H15" s="219">
        <v>0</v>
      </c>
      <c r="I15" s="190">
        <f t="shared" si="0"/>
        <v>64000</v>
      </c>
      <c r="J15" s="219">
        <v>0</v>
      </c>
      <c r="K15" s="190">
        <f t="shared" si="1"/>
        <v>64000</v>
      </c>
    </row>
    <row r="16" spans="1:20">
      <c r="A16" s="119">
        <f t="shared" si="2"/>
        <v>2023</v>
      </c>
      <c r="B16" s="119">
        <f t="shared" si="2"/>
        <v>64</v>
      </c>
      <c r="C16" s="887">
        <v>0</v>
      </c>
      <c r="D16" s="219">
        <v>64000</v>
      </c>
      <c r="E16" s="219">
        <v>0</v>
      </c>
      <c r="F16" s="219">
        <v>0</v>
      </c>
      <c r="G16" s="219">
        <v>0</v>
      </c>
      <c r="H16" s="219">
        <v>0</v>
      </c>
      <c r="I16" s="190">
        <f t="shared" si="0"/>
        <v>64000</v>
      </c>
      <c r="J16" s="219">
        <v>0</v>
      </c>
      <c r="K16" s="190">
        <f t="shared" si="1"/>
        <v>64000</v>
      </c>
    </row>
    <row r="17" spans="1:11">
      <c r="A17" s="119">
        <f t="shared" si="2"/>
        <v>2024</v>
      </c>
      <c r="B17" s="119">
        <f t="shared" si="2"/>
        <v>65</v>
      </c>
      <c r="C17" s="887">
        <v>0</v>
      </c>
      <c r="D17" s="219">
        <v>64000</v>
      </c>
      <c r="E17" s="219">
        <v>0</v>
      </c>
      <c r="F17" s="219">
        <v>0</v>
      </c>
      <c r="G17" s="219">
        <v>0</v>
      </c>
      <c r="H17" s="219">
        <v>0</v>
      </c>
      <c r="I17" s="190">
        <f t="shared" si="0"/>
        <v>64000</v>
      </c>
      <c r="J17" s="219">
        <v>0</v>
      </c>
      <c r="K17" s="190">
        <f t="shared" si="1"/>
        <v>64000</v>
      </c>
    </row>
    <row r="18" spans="1:11">
      <c r="A18" s="888">
        <f t="shared" si="2"/>
        <v>2025</v>
      </c>
      <c r="B18" s="148">
        <f t="shared" si="2"/>
        <v>66</v>
      </c>
      <c r="C18" s="887">
        <v>4338</v>
      </c>
      <c r="D18" s="219">
        <v>42664</v>
      </c>
      <c r="E18" s="719">
        <v>9598.92</v>
      </c>
      <c r="F18" s="219">
        <v>0</v>
      </c>
      <c r="G18" s="219">
        <v>0</v>
      </c>
      <c r="H18" s="219">
        <v>0</v>
      </c>
      <c r="I18" s="889">
        <f t="shared" si="0"/>
        <v>56600.92</v>
      </c>
      <c r="J18" s="890">
        <v>9595.92</v>
      </c>
      <c r="K18" s="891">
        <f>SUM(I18:J18)</f>
        <v>66196.84</v>
      </c>
    </row>
    <row r="19" spans="1:11">
      <c r="A19" s="892">
        <f t="shared" si="2"/>
        <v>2026</v>
      </c>
      <c r="B19" s="148">
        <f t="shared" si="2"/>
        <v>67</v>
      </c>
      <c r="C19" s="887">
        <v>26028</v>
      </c>
      <c r="D19" s="219">
        <v>0</v>
      </c>
      <c r="E19" s="719">
        <v>9598.92</v>
      </c>
      <c r="F19" s="219">
        <v>0</v>
      </c>
      <c r="G19" s="219">
        <v>0</v>
      </c>
      <c r="H19" s="219">
        <v>0</v>
      </c>
      <c r="I19" s="356">
        <f t="shared" si="0"/>
        <v>35626.92</v>
      </c>
      <c r="J19" s="890">
        <v>9595.92</v>
      </c>
      <c r="K19" s="891">
        <f t="shared" ref="K19:K38" si="3">SUM(I19:J19)</f>
        <v>45222.84</v>
      </c>
    </row>
    <row r="20" spans="1:11">
      <c r="A20" s="119">
        <f t="shared" si="2"/>
        <v>2027</v>
      </c>
      <c r="B20" s="119">
        <f t="shared" si="2"/>
        <v>68</v>
      </c>
      <c r="C20" s="887">
        <f>C19*1.01</f>
        <v>26288.28</v>
      </c>
      <c r="D20" s="219">
        <v>0</v>
      </c>
      <c r="E20" s="719">
        <v>9598.92</v>
      </c>
      <c r="F20" s="219">
        <v>0</v>
      </c>
      <c r="G20" s="219">
        <v>0</v>
      </c>
      <c r="H20" s="219">
        <v>0</v>
      </c>
      <c r="I20" s="45">
        <f t="shared" si="0"/>
        <v>35887.199999999997</v>
      </c>
      <c r="J20" s="890">
        <v>9595.92</v>
      </c>
      <c r="K20" s="891">
        <f t="shared" si="3"/>
        <v>45483.119999999995</v>
      </c>
    </row>
    <row r="21" spans="1:11">
      <c r="A21" s="119">
        <f t="shared" si="2"/>
        <v>2028</v>
      </c>
      <c r="B21" s="119">
        <f t="shared" si="2"/>
        <v>69</v>
      </c>
      <c r="C21" s="887">
        <f t="shared" ref="C21:C38" si="4">C20*1.01</f>
        <v>26551.162799999998</v>
      </c>
      <c r="D21" s="219">
        <v>0</v>
      </c>
      <c r="E21" s="719">
        <v>9598.92</v>
      </c>
      <c r="F21" s="219">
        <v>0</v>
      </c>
      <c r="G21" s="219">
        <v>0</v>
      </c>
      <c r="H21" s="219">
        <v>0</v>
      </c>
      <c r="I21" s="45">
        <f t="shared" si="0"/>
        <v>36150.082799999996</v>
      </c>
      <c r="J21" s="890">
        <v>9595.92</v>
      </c>
      <c r="K21" s="891">
        <f t="shared" si="3"/>
        <v>45746.002799999995</v>
      </c>
    </row>
    <row r="22" spans="1:11">
      <c r="A22" s="119">
        <f t="shared" si="2"/>
        <v>2029</v>
      </c>
      <c r="B22" s="119">
        <f t="shared" si="2"/>
        <v>70</v>
      </c>
      <c r="C22" s="887">
        <f t="shared" si="4"/>
        <v>26816.674427999998</v>
      </c>
      <c r="D22" s="219">
        <v>0</v>
      </c>
      <c r="E22" s="719">
        <v>9598.92</v>
      </c>
      <c r="F22" s="219">
        <v>0</v>
      </c>
      <c r="G22" s="219">
        <v>0</v>
      </c>
      <c r="H22" s="219">
        <v>0</v>
      </c>
      <c r="I22" s="45">
        <f t="shared" si="0"/>
        <v>36415.594427999997</v>
      </c>
      <c r="J22" s="890">
        <v>9595.92</v>
      </c>
      <c r="K22" s="891">
        <f t="shared" si="3"/>
        <v>46011.514427999995</v>
      </c>
    </row>
    <row r="23" spans="1:11">
      <c r="A23" s="119">
        <f t="shared" si="2"/>
        <v>2030</v>
      </c>
      <c r="B23" s="119">
        <f t="shared" si="2"/>
        <v>71</v>
      </c>
      <c r="C23" s="887">
        <f t="shared" si="4"/>
        <v>27084.841172279997</v>
      </c>
      <c r="D23" s="219">
        <v>0</v>
      </c>
      <c r="E23" s="719">
        <v>9598.92</v>
      </c>
      <c r="F23" s="219">
        <v>0</v>
      </c>
      <c r="G23" s="219">
        <v>0</v>
      </c>
      <c r="H23" s="219">
        <v>0</v>
      </c>
      <c r="I23" s="45">
        <f t="shared" si="0"/>
        <v>36683.761172279999</v>
      </c>
      <c r="J23" s="890">
        <v>9595.92</v>
      </c>
      <c r="K23" s="891">
        <f t="shared" si="3"/>
        <v>46279.681172279998</v>
      </c>
    </row>
    <row r="24" spans="1:11">
      <c r="A24" s="119">
        <f t="shared" si="2"/>
        <v>2031</v>
      </c>
      <c r="B24" s="119">
        <f t="shared" si="2"/>
        <v>72</v>
      </c>
      <c r="C24" s="887">
        <f t="shared" si="4"/>
        <v>27355.689584002797</v>
      </c>
      <c r="D24" s="219">
        <v>0</v>
      </c>
      <c r="E24" s="719">
        <v>9598.92</v>
      </c>
      <c r="F24" s="219">
        <v>0</v>
      </c>
      <c r="G24" s="219">
        <v>0</v>
      </c>
      <c r="H24" s="219">
        <v>0</v>
      </c>
      <c r="I24" s="45">
        <f t="shared" si="0"/>
        <v>36954.609584002799</v>
      </c>
      <c r="J24" s="890">
        <v>9595.92</v>
      </c>
      <c r="K24" s="891">
        <f t="shared" si="3"/>
        <v>46550.529584002797</v>
      </c>
    </row>
    <row r="25" spans="1:11">
      <c r="A25" s="119">
        <f t="shared" si="2"/>
        <v>2032</v>
      </c>
      <c r="B25" s="119">
        <f t="shared" si="2"/>
        <v>73</v>
      </c>
      <c r="C25" s="887">
        <f t="shared" si="4"/>
        <v>27629.246479842826</v>
      </c>
      <c r="D25" s="219">
        <v>0</v>
      </c>
      <c r="E25" s="719">
        <v>9598.92</v>
      </c>
      <c r="F25" s="219">
        <v>0</v>
      </c>
      <c r="G25" s="219">
        <v>0</v>
      </c>
      <c r="H25" s="219">
        <v>0</v>
      </c>
      <c r="I25" s="45">
        <f t="shared" si="0"/>
        <v>37228.166479842825</v>
      </c>
      <c r="J25" s="890">
        <v>9595.92</v>
      </c>
      <c r="K25" s="891">
        <f t="shared" si="3"/>
        <v>46824.086479842823</v>
      </c>
    </row>
    <row r="26" spans="1:11">
      <c r="A26" s="155">
        <f t="shared" si="2"/>
        <v>2033</v>
      </c>
      <c r="B26" s="119">
        <f t="shared" si="2"/>
        <v>74</v>
      </c>
      <c r="C26" s="887">
        <f t="shared" si="4"/>
        <v>27905.538944641256</v>
      </c>
      <c r="D26" s="219">
        <v>0</v>
      </c>
      <c r="E26" s="719">
        <v>9598.92</v>
      </c>
      <c r="F26" s="219">
        <v>0</v>
      </c>
      <c r="G26" s="219">
        <v>0</v>
      </c>
      <c r="H26" s="219">
        <v>0</v>
      </c>
      <c r="I26" s="45">
        <f t="shared" si="0"/>
        <v>37504.458944641257</v>
      </c>
      <c r="J26" s="890">
        <v>9595.92</v>
      </c>
      <c r="K26" s="891">
        <f t="shared" si="3"/>
        <v>47100.378944641256</v>
      </c>
    </row>
    <row r="27" spans="1:11">
      <c r="A27" s="119">
        <f t="shared" si="2"/>
        <v>2034</v>
      </c>
      <c r="B27" s="137">
        <f t="shared" si="2"/>
        <v>75</v>
      </c>
      <c r="C27" s="887">
        <f t="shared" si="4"/>
        <v>28184.594334087669</v>
      </c>
      <c r="D27" s="219">
        <v>0</v>
      </c>
      <c r="E27" s="719">
        <v>9598.92</v>
      </c>
      <c r="F27" s="219">
        <v>0</v>
      </c>
      <c r="G27" s="219">
        <v>0</v>
      </c>
      <c r="H27" s="219">
        <v>0</v>
      </c>
      <c r="I27" s="45">
        <f t="shared" si="0"/>
        <v>37783.514334087668</v>
      </c>
      <c r="J27" s="890">
        <v>9595.92</v>
      </c>
      <c r="K27" s="891">
        <f t="shared" si="3"/>
        <v>47379.434334087666</v>
      </c>
    </row>
    <row r="28" spans="1:11">
      <c r="A28" s="119">
        <f t="shared" ref="A28:B38" si="5">A27+1</f>
        <v>2035</v>
      </c>
      <c r="B28" s="119">
        <f t="shared" si="5"/>
        <v>76</v>
      </c>
      <c r="C28" s="887">
        <f t="shared" si="4"/>
        <v>28466.440277428545</v>
      </c>
      <c r="D28" s="219">
        <v>0</v>
      </c>
      <c r="E28" s="719">
        <v>9598.92</v>
      </c>
      <c r="F28" s="219">
        <v>0</v>
      </c>
      <c r="G28" s="219">
        <v>0</v>
      </c>
      <c r="H28" s="219">
        <v>0</v>
      </c>
      <c r="I28" s="45">
        <f t="shared" si="0"/>
        <v>38065.360277428546</v>
      </c>
      <c r="J28" s="890">
        <v>9595.92</v>
      </c>
      <c r="K28" s="891">
        <f t="shared" si="3"/>
        <v>47661.280277428545</v>
      </c>
    </row>
    <row r="29" spans="1:11">
      <c r="A29" s="119">
        <f t="shared" si="5"/>
        <v>2036</v>
      </c>
      <c r="B29" s="119">
        <f t="shared" si="5"/>
        <v>77</v>
      </c>
      <c r="C29" s="887">
        <f t="shared" si="4"/>
        <v>28751.104680202829</v>
      </c>
      <c r="D29" s="219">
        <v>0</v>
      </c>
      <c r="E29" s="719">
        <v>9598.92</v>
      </c>
      <c r="F29" s="219">
        <v>0</v>
      </c>
      <c r="G29" s="219">
        <v>0</v>
      </c>
      <c r="H29" s="219">
        <v>0</v>
      </c>
      <c r="I29" s="45">
        <f t="shared" si="0"/>
        <v>38350.024680202827</v>
      </c>
      <c r="J29" s="890">
        <v>9595.92</v>
      </c>
      <c r="K29" s="891">
        <f t="shared" si="3"/>
        <v>47945.944680202825</v>
      </c>
    </row>
    <row r="30" spans="1:11">
      <c r="A30" s="119">
        <f t="shared" si="5"/>
        <v>2037</v>
      </c>
      <c r="B30" s="119">
        <f t="shared" si="5"/>
        <v>78</v>
      </c>
      <c r="C30" s="887">
        <f t="shared" si="4"/>
        <v>29038.615727004857</v>
      </c>
      <c r="D30" s="219">
        <v>0</v>
      </c>
      <c r="E30" s="719">
        <v>9598.92</v>
      </c>
      <c r="F30" s="219">
        <v>0</v>
      </c>
      <c r="G30" s="219">
        <v>0</v>
      </c>
      <c r="H30" s="219">
        <v>0</v>
      </c>
      <c r="I30" s="45">
        <f t="shared" si="0"/>
        <v>38637.535727004855</v>
      </c>
      <c r="J30" s="890">
        <v>9595.92</v>
      </c>
      <c r="K30" s="891">
        <f t="shared" si="3"/>
        <v>48233.455727004854</v>
      </c>
    </row>
    <row r="31" spans="1:11">
      <c r="A31" s="119">
        <f t="shared" si="5"/>
        <v>2038</v>
      </c>
      <c r="B31" s="119">
        <f t="shared" si="5"/>
        <v>79</v>
      </c>
      <c r="C31" s="887">
        <f t="shared" si="4"/>
        <v>29329.001884274905</v>
      </c>
      <c r="D31" s="219">
        <v>0</v>
      </c>
      <c r="E31" s="719">
        <v>9598.92</v>
      </c>
      <c r="F31" s="219">
        <v>0</v>
      </c>
      <c r="G31" s="219">
        <v>0</v>
      </c>
      <c r="H31" s="219">
        <v>0</v>
      </c>
      <c r="I31" s="45">
        <f t="shared" si="0"/>
        <v>38927.921884274903</v>
      </c>
      <c r="J31" s="890">
        <v>9595.92</v>
      </c>
      <c r="K31" s="891">
        <f t="shared" si="3"/>
        <v>48523.841884274902</v>
      </c>
    </row>
    <row r="32" spans="1:11">
      <c r="A32" s="119">
        <f t="shared" si="5"/>
        <v>2039</v>
      </c>
      <c r="B32" s="119">
        <f t="shared" si="5"/>
        <v>80</v>
      </c>
      <c r="C32" s="887">
        <f t="shared" si="4"/>
        <v>29622.291903117653</v>
      </c>
      <c r="D32" s="219">
        <v>0</v>
      </c>
      <c r="E32" s="719">
        <v>9598.92</v>
      </c>
      <c r="F32" s="219">
        <v>0</v>
      </c>
      <c r="G32" s="219">
        <v>0</v>
      </c>
      <c r="H32" s="219">
        <v>0</v>
      </c>
      <c r="I32" s="45">
        <f t="shared" si="0"/>
        <v>39221.211903117655</v>
      </c>
      <c r="J32" s="890">
        <v>9595.92</v>
      </c>
      <c r="K32" s="891">
        <f t="shared" si="3"/>
        <v>48817.131903117654</v>
      </c>
    </row>
    <row r="33" spans="1:20">
      <c r="A33" s="119">
        <f t="shared" si="5"/>
        <v>2040</v>
      </c>
      <c r="B33" s="119">
        <f t="shared" si="5"/>
        <v>81</v>
      </c>
      <c r="C33" s="887">
        <f t="shared" si="4"/>
        <v>29918.514822148831</v>
      </c>
      <c r="D33" s="219">
        <v>0</v>
      </c>
      <c r="E33" s="719">
        <v>9598.92</v>
      </c>
      <c r="F33" s="219">
        <v>0</v>
      </c>
      <c r="G33" s="219">
        <v>0</v>
      </c>
      <c r="H33" s="219">
        <v>0</v>
      </c>
      <c r="I33" s="45">
        <f t="shared" si="0"/>
        <v>39517.434822148833</v>
      </c>
      <c r="J33" s="890">
        <v>9595.92</v>
      </c>
      <c r="K33" s="891">
        <f t="shared" si="3"/>
        <v>49113.354822148831</v>
      </c>
    </row>
    <row r="34" spans="1:20">
      <c r="A34" s="119">
        <f t="shared" si="5"/>
        <v>2041</v>
      </c>
      <c r="B34" s="119">
        <f t="shared" si="5"/>
        <v>82</v>
      </c>
      <c r="C34" s="887">
        <f t="shared" si="4"/>
        <v>30217.699970370319</v>
      </c>
      <c r="D34" s="219">
        <v>0</v>
      </c>
      <c r="E34" s="719">
        <v>9598.92</v>
      </c>
      <c r="F34" s="219">
        <v>0</v>
      </c>
      <c r="G34" s="219">
        <v>0</v>
      </c>
      <c r="H34" s="219">
        <v>0</v>
      </c>
      <c r="I34" s="45">
        <f t="shared" si="0"/>
        <v>39816.619970370317</v>
      </c>
      <c r="J34" s="890">
        <v>9595.92</v>
      </c>
      <c r="K34" s="891">
        <f t="shared" si="3"/>
        <v>49412.539970370315</v>
      </c>
    </row>
    <row r="35" spans="1:20">
      <c r="A35" s="119">
        <f t="shared" si="5"/>
        <v>2042</v>
      </c>
      <c r="B35" s="119">
        <f t="shared" si="5"/>
        <v>83</v>
      </c>
      <c r="C35" s="887">
        <f t="shared" si="4"/>
        <v>30519.876970074023</v>
      </c>
      <c r="D35" s="219">
        <v>0</v>
      </c>
      <c r="E35" s="719">
        <v>9598.92</v>
      </c>
      <c r="F35" s="219">
        <v>0</v>
      </c>
      <c r="G35" s="219">
        <v>0</v>
      </c>
      <c r="H35" s="219">
        <v>0</v>
      </c>
      <c r="I35" s="45">
        <f t="shared" si="0"/>
        <v>40118.796970074021</v>
      </c>
      <c r="J35" s="890">
        <v>9595.92</v>
      </c>
      <c r="K35" s="891">
        <f t="shared" si="3"/>
        <v>49714.71697007402</v>
      </c>
    </row>
    <row r="36" spans="1:20">
      <c r="A36" s="119">
        <f t="shared" si="5"/>
        <v>2043</v>
      </c>
      <c r="B36" s="119">
        <f t="shared" si="5"/>
        <v>84</v>
      </c>
      <c r="C36" s="887">
        <f t="shared" si="4"/>
        <v>30825.075739774762</v>
      </c>
      <c r="D36" s="219">
        <v>0</v>
      </c>
      <c r="E36" s="719">
        <v>9598.92</v>
      </c>
      <c r="F36" s="219">
        <v>0</v>
      </c>
      <c r="G36" s="219">
        <v>0</v>
      </c>
      <c r="H36" s="219">
        <v>0</v>
      </c>
      <c r="I36" s="45">
        <f t="shared" si="0"/>
        <v>40423.995739774764</v>
      </c>
      <c r="J36" s="890">
        <v>9595.92</v>
      </c>
      <c r="K36" s="891">
        <f t="shared" si="3"/>
        <v>50019.915739774762</v>
      </c>
    </row>
    <row r="37" spans="1:20">
      <c r="A37" s="119">
        <f t="shared" si="5"/>
        <v>2044</v>
      </c>
      <c r="B37" s="119">
        <f t="shared" si="5"/>
        <v>85</v>
      </c>
      <c r="C37" s="887">
        <f t="shared" si="4"/>
        <v>31133.326497172511</v>
      </c>
      <c r="D37" s="219">
        <v>0</v>
      </c>
      <c r="E37" s="719">
        <v>9598.92</v>
      </c>
      <c r="F37" s="219">
        <v>0</v>
      </c>
      <c r="G37" s="219">
        <v>0</v>
      </c>
      <c r="H37" s="219">
        <v>0</v>
      </c>
      <c r="I37" s="45">
        <f t="shared" si="0"/>
        <v>40732.246497172513</v>
      </c>
      <c r="J37" s="890">
        <v>9595.92</v>
      </c>
      <c r="K37" s="891">
        <f t="shared" si="3"/>
        <v>50328.166497172511</v>
      </c>
    </row>
    <row r="38" spans="1:20">
      <c r="A38" s="137">
        <f t="shared" si="5"/>
        <v>2045</v>
      </c>
      <c r="B38" s="137">
        <f t="shared" si="5"/>
        <v>86</v>
      </c>
      <c r="C38" s="887">
        <f t="shared" si="4"/>
        <v>31444.659762144238</v>
      </c>
      <c r="D38" s="219">
        <v>0</v>
      </c>
      <c r="E38" s="719">
        <v>9598.92</v>
      </c>
      <c r="F38" s="219">
        <v>0</v>
      </c>
      <c r="G38" s="219">
        <v>0</v>
      </c>
      <c r="H38" s="219">
        <v>0</v>
      </c>
      <c r="I38" s="45">
        <f t="shared" si="0"/>
        <v>41043.57976214424</v>
      </c>
      <c r="J38" s="890">
        <v>9595.92</v>
      </c>
      <c r="K38" s="891">
        <f t="shared" si="3"/>
        <v>50639.499762144238</v>
      </c>
    </row>
    <row r="39" spans="1:20">
      <c r="A39" s="222"/>
      <c r="B39" s="222"/>
      <c r="C39" s="73"/>
      <c r="D39" s="223"/>
      <c r="E39" s="223"/>
      <c r="F39" s="223"/>
      <c r="G39" s="223"/>
      <c r="H39" s="223"/>
      <c r="I39" s="46"/>
      <c r="J39" s="223"/>
      <c r="K39" s="46"/>
    </row>
    <row r="40" spans="1:20" s="225" customFormat="1">
      <c r="A40" s="38"/>
      <c r="B40" s="38"/>
      <c r="C40" s="73"/>
      <c r="D40" s="38"/>
      <c r="E40" s="38"/>
      <c r="F40" s="38"/>
      <c r="G40" s="38"/>
      <c r="H40" s="39"/>
      <c r="I40" s="39"/>
      <c r="J40" s="39"/>
      <c r="K40" s="39"/>
      <c r="L40" s="224"/>
      <c r="M40" s="224"/>
      <c r="N40" s="224"/>
      <c r="O40" s="224"/>
      <c r="P40" s="224"/>
      <c r="Q40" s="224"/>
      <c r="R40" s="224"/>
      <c r="S40" s="224"/>
      <c r="T40" s="224"/>
    </row>
    <row r="41" spans="1:20">
      <c r="A41" s="72"/>
      <c r="B41" s="40"/>
      <c r="C41" s="74"/>
      <c r="D41" s="40"/>
      <c r="E41" s="40"/>
      <c r="F41" s="40"/>
      <c r="G41" s="40"/>
      <c r="H41" s="40"/>
      <c r="I41" s="40"/>
      <c r="J41" s="40"/>
      <c r="K41" s="40"/>
    </row>
    <row r="42" spans="1:20">
      <c r="B42" s="89"/>
      <c r="C42" s="70"/>
    </row>
  </sheetData>
  <mergeCells count="7">
    <mergeCell ref="A10:B10"/>
    <mergeCell ref="C2:H2"/>
    <mergeCell ref="C3:H3"/>
    <mergeCell ref="G4:H4"/>
    <mergeCell ref="D5:F5"/>
    <mergeCell ref="D6:H6"/>
    <mergeCell ref="D7:G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B1F0F-67BD-4C56-8F08-8BCB1BC99B8A}">
  <sheetPr>
    <tabColor theme="0"/>
  </sheetPr>
  <dimension ref="A1:N71"/>
  <sheetViews>
    <sheetView showGridLines="0" showRowColHeaders="0" workbookViewId="0">
      <selection activeCell="F1" sqref="F1:J1"/>
      <extLst>
        <ext xmlns:xlsdti="http://schemas.microsoft.com/office/spreadsheetml/2023/showDataTypeIcons" uri="{77bfe23e-c014-4d31-8a63-9c772dbf06b6}">
          <xlsdti:showDataTypeIcons visible="0"/>
        </ext>
      </extLst>
    </sheetView>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714"/>
      <c r="E1" s="715"/>
      <c r="F1" s="1719" t="s">
        <v>395</v>
      </c>
      <c r="G1" s="1720"/>
      <c r="H1" s="1720"/>
      <c r="I1" s="1720"/>
      <c r="J1" s="1720"/>
      <c r="K1" s="1030" t="s">
        <v>396</v>
      </c>
      <c r="L1" s="1721" t="s">
        <v>397</v>
      </c>
      <c r="M1" s="1721"/>
    </row>
    <row r="2" spans="1:13" ht="24.25">
      <c r="A2" s="296">
        <f>'Goals and Data'!C69</f>
        <v>100000</v>
      </c>
      <c r="B2" s="298">
        <v>0</v>
      </c>
      <c r="C2" s="297">
        <f>'Goals and Data'!D57</f>
        <v>100000</v>
      </c>
      <c r="D2" s="1023"/>
      <c r="E2" s="1023"/>
      <c r="F2" s="1023"/>
      <c r="G2" s="1023"/>
      <c r="H2" s="1023"/>
      <c r="I2" s="1023"/>
      <c r="J2" s="1023"/>
      <c r="K2" s="1031" t="s">
        <v>160</v>
      </c>
      <c r="L2" s="1721" t="s">
        <v>398</v>
      </c>
      <c r="M2" s="1721"/>
    </row>
    <row r="3" spans="1:13" ht="26.2">
      <c r="A3" s="34"/>
      <c r="B3" s="118"/>
      <c r="C3" s="35"/>
      <c r="D3" s="1024"/>
      <c r="E3" s="1024"/>
      <c r="F3" s="1024"/>
      <c r="G3" s="1024"/>
      <c r="H3" s="1024"/>
      <c r="I3" s="1024"/>
      <c r="J3" s="718">
        <f>'Egan Asset Summary'!O3</f>
        <v>0</v>
      </c>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J3</f>
        <v>0</v>
      </c>
      <c r="K15" s="236">
        <f>J3</f>
        <v>0</v>
      </c>
      <c r="L15" s="236">
        <f>J3</f>
        <v>0</v>
      </c>
      <c r="M15" s="674" t="s">
        <v>85</v>
      </c>
    </row>
    <row r="16" spans="1:13" ht="24.25" thickBot="1">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9">
    <mergeCell ref="I37:M37"/>
    <mergeCell ref="I12:M12"/>
    <mergeCell ref="I13:L13"/>
    <mergeCell ref="I14:J14"/>
    <mergeCell ref="I19:M19"/>
    <mergeCell ref="I23:M23"/>
    <mergeCell ref="I24:M24"/>
    <mergeCell ref="I11:M11"/>
    <mergeCell ref="F1:J1"/>
    <mergeCell ref="L1:M1"/>
    <mergeCell ref="L2:M2"/>
    <mergeCell ref="L3:M3"/>
    <mergeCell ref="I4:M4"/>
    <mergeCell ref="I5:M5"/>
    <mergeCell ref="I6:M6"/>
    <mergeCell ref="I7:M7"/>
    <mergeCell ref="I8:L8"/>
    <mergeCell ref="I9:L9"/>
    <mergeCell ref="I10:L10"/>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62"/>
  <sheetViews>
    <sheetView showGridLines="0" showRowColHeaders="0" workbookViewId="0">
      <selection activeCell="P21" sqref="P21"/>
      <extLst>
        <ext xmlns:xlsdti="http://schemas.microsoft.com/office/spreadsheetml/2023/showDataTypeIcons" uri="{77bfe23e-c014-4d31-8a63-9c772dbf06b6}">
          <xlsdti:showDataTypeIcons visible="0"/>
        </ext>
      </extLst>
    </sheetView>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37"/>
      <c r="B1" s="1738"/>
      <c r="C1" s="1738"/>
      <c r="D1" s="1738"/>
      <c r="E1" s="1070"/>
      <c r="F1" s="1553"/>
      <c r="G1" s="1553"/>
      <c r="H1" s="1553"/>
      <c r="I1" s="1070"/>
      <c r="J1" s="1739"/>
      <c r="K1" s="1553"/>
      <c r="L1" s="1553"/>
      <c r="M1" s="208"/>
    </row>
    <row r="2" spans="1:23" ht="15.05">
      <c r="A2" s="1069"/>
      <c r="B2" s="588"/>
      <c r="C2" s="588"/>
      <c r="D2" s="588"/>
      <c r="E2" s="1070"/>
      <c r="F2" s="192"/>
      <c r="G2" s="192"/>
      <c r="H2" s="192"/>
      <c r="I2" s="1070"/>
      <c r="J2" s="1071"/>
      <c r="K2" s="1072"/>
      <c r="L2" s="192"/>
      <c r="M2" s="208"/>
    </row>
    <row r="3" spans="1:23" ht="15.05">
      <c r="B3" s="89"/>
      <c r="C3" s="89"/>
      <c r="E3" s="1012" t="s">
        <v>372</v>
      </c>
      <c r="F3" s="1161">
        <f>'Goals and Data'!E9</f>
        <v>18919</v>
      </c>
      <c r="G3" s="1168">
        <f ca="1">DATEDIF(F3,TODAY(),"Y")</f>
        <v>74</v>
      </c>
      <c r="H3" s="1363" t="s">
        <v>3</v>
      </c>
      <c r="I3" s="1168">
        <v>62</v>
      </c>
      <c r="J3" s="1016">
        <f ca="1">I3-G3</f>
        <v>-12</v>
      </c>
      <c r="K3" s="1033" t="s">
        <v>47</v>
      </c>
      <c r="L3" s="192"/>
      <c r="Q3" s="89"/>
    </row>
    <row r="4" spans="1:23" ht="17.7">
      <c r="C4" s="1173">
        <f ca="1">TODAY()</f>
        <v>46198</v>
      </c>
      <c r="E4" s="1159" t="s">
        <v>374</v>
      </c>
      <c r="F4" s="1160">
        <f>'Goals and Data'!E10</f>
        <v>23906</v>
      </c>
      <c r="G4" s="1464">
        <f ca="1">DATEDIF(F4,TODAY(),"Y")</f>
        <v>61</v>
      </c>
      <c r="H4" s="1465" t="s">
        <v>3</v>
      </c>
      <c r="I4" s="1162">
        <v>67</v>
      </c>
      <c r="J4" s="971">
        <f ca="1">I4-G4</f>
        <v>6</v>
      </c>
      <c r="K4" s="1159" t="s">
        <v>47</v>
      </c>
    </row>
    <row r="5" spans="1:23" ht="20.95" thickBot="1">
      <c r="C5" s="970">
        <v>2020</v>
      </c>
      <c r="D5" s="192"/>
      <c r="E5" s="925"/>
      <c r="F5" s="925"/>
      <c r="G5" s="925"/>
      <c r="H5" s="192"/>
      <c r="I5" s="969"/>
      <c r="J5" s="192">
        <v>7038</v>
      </c>
      <c r="K5" s="192"/>
      <c r="L5" s="969"/>
      <c r="M5" s="371"/>
      <c r="N5" s="192"/>
      <c r="P5" s="89"/>
      <c r="Q5" s="89"/>
      <c r="R5" s="89"/>
      <c r="S5" s="89"/>
      <c r="T5" s="89"/>
      <c r="U5" s="89"/>
      <c r="V5" s="89"/>
      <c r="W5" s="89"/>
    </row>
    <row r="6" spans="1:23" ht="18.350000000000001" thickBot="1">
      <c r="A6" s="1557"/>
      <c r="B6" s="1557"/>
      <c r="C6" s="1557"/>
      <c r="D6" s="966"/>
      <c r="E6" s="1740" t="s">
        <v>376</v>
      </c>
      <c r="F6" s="1741"/>
      <c r="G6" s="1015">
        <f>'Goals and Data'!D87</f>
        <v>123813.84</v>
      </c>
      <c r="H6" s="968"/>
      <c r="J6" s="968"/>
      <c r="K6" s="974"/>
      <c r="N6" s="16"/>
      <c r="O6" s="16"/>
      <c r="P6" s="89"/>
      <c r="Q6" s="89"/>
      <c r="R6" s="89"/>
      <c r="S6" s="89"/>
      <c r="T6" s="89"/>
      <c r="U6" s="89"/>
      <c r="V6" s="89"/>
      <c r="W6" s="89"/>
    </row>
    <row r="7" spans="1:23" ht="18.350000000000001" thickBot="1">
      <c r="A7" s="1557"/>
      <c r="B7" s="1557"/>
      <c r="C7" s="1557"/>
      <c r="D7" s="966"/>
      <c r="E7" s="1735" t="s">
        <v>379</v>
      </c>
      <c r="F7" s="1736"/>
      <c r="G7" s="1015">
        <v>0</v>
      </c>
      <c r="H7" s="968"/>
      <c r="I7" s="1466"/>
      <c r="J7" s="968" t="s">
        <v>380</v>
      </c>
      <c r="K7" s="972">
        <f>G6+G7</f>
        <v>123813.84</v>
      </c>
      <c r="O7" s="16"/>
      <c r="P7" s="89"/>
      <c r="Q7" s="89"/>
      <c r="R7" s="89"/>
      <c r="S7" s="89"/>
      <c r="T7" s="89"/>
      <c r="U7" s="89"/>
      <c r="V7" s="89"/>
      <c r="W7" s="89"/>
    </row>
    <row r="10" spans="1:23" ht="17.7">
      <c r="A10" s="1732" t="s">
        <v>1075</v>
      </c>
      <c r="B10" s="1733"/>
      <c r="C10" s="1733"/>
      <c r="D10" s="1733"/>
      <c r="E10" s="1010">
        <f>'Goals and Data'!E87</f>
        <v>10317.82</v>
      </c>
      <c r="F10" s="965"/>
      <c r="G10" s="966">
        <f>E10*12</f>
        <v>123813.84</v>
      </c>
      <c r="H10" s="1360" t="s">
        <v>1073</v>
      </c>
      <c r="I10" s="1318">
        <f>'Goals and Data'!C90</f>
        <v>102926.63999999998</v>
      </c>
      <c r="J10" s="1496" t="s">
        <v>1076</v>
      </c>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6.05" customHeight="1">
      <c r="A12" s="1742" t="s">
        <v>383</v>
      </c>
      <c r="B12" s="1743"/>
      <c r="C12" s="1744"/>
      <c r="D12" s="1170">
        <f>'Goals and Data'!C79</f>
        <v>2083.33</v>
      </c>
      <c r="E12" s="1013" t="s">
        <v>12</v>
      </c>
      <c r="F12" s="1013">
        <v>67</v>
      </c>
      <c r="G12" s="1745" t="s">
        <v>54</v>
      </c>
      <c r="H12" s="1746"/>
      <c r="I12" s="1021">
        <f>D12*12</f>
        <v>24999.96</v>
      </c>
      <c r="J12" s="1553" t="s">
        <v>55</v>
      </c>
      <c r="K12" s="1553"/>
      <c r="L12" s="1553"/>
      <c r="M12" s="1553"/>
      <c r="N12" s="1553"/>
      <c r="O12" s="1553"/>
    </row>
    <row r="13" spans="1:23" ht="17.7">
      <c r="A13" s="1756" t="s">
        <v>524</v>
      </c>
      <c r="B13" s="1757"/>
      <c r="C13" s="1758"/>
      <c r="D13" s="1171">
        <v>0</v>
      </c>
      <c r="E13" s="1467" t="s">
        <v>12</v>
      </c>
      <c r="F13" s="1164">
        <v>67</v>
      </c>
      <c r="G13" s="1759" t="s">
        <v>54</v>
      </c>
      <c r="H13" s="1760"/>
      <c r="I13" s="973">
        <f>D13*12</f>
        <v>0</v>
      </c>
      <c r="J13" s="1552" t="s">
        <v>384</v>
      </c>
      <c r="K13" s="1552"/>
      <c r="L13" s="1197"/>
      <c r="M13" s="31"/>
      <c r="N13" s="16"/>
      <c r="O13" s="1196"/>
    </row>
    <row r="14" spans="1:23" ht="15.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761" t="s">
        <v>1057</v>
      </c>
      <c r="B15" s="1541"/>
      <c r="C15" s="1541"/>
      <c r="D15" s="1541"/>
      <c r="E15" s="1541"/>
      <c r="F15" s="1541"/>
      <c r="G15" s="1541"/>
      <c r="H15" s="1541"/>
      <c r="I15" s="1541"/>
      <c r="J15" s="1541"/>
      <c r="K15" s="1541"/>
      <c r="L15" s="1541"/>
      <c r="M15" s="1541"/>
      <c r="N15" s="1541"/>
      <c r="O15" s="1542"/>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83.15" thickBot="1">
      <c r="A17" s="1110"/>
      <c r="B17" s="1110"/>
      <c r="C17" s="1110"/>
      <c r="D17" s="1468" t="s">
        <v>1074</v>
      </c>
      <c r="E17" s="36"/>
      <c r="F17" s="36"/>
      <c r="G17" s="36" t="s">
        <v>386</v>
      </c>
      <c r="H17" s="36" t="s">
        <v>387</v>
      </c>
      <c r="I17" s="36"/>
      <c r="J17" s="36"/>
      <c r="K17" s="36"/>
      <c r="L17" s="36"/>
      <c r="M17" s="1067" t="s">
        <v>65</v>
      </c>
      <c r="N17" s="1014" t="s">
        <v>388</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ht="13.75" thickBot="1">
      <c r="A19" s="1540"/>
      <c r="B19" s="1540"/>
      <c r="C19" s="1540"/>
      <c r="D19" s="1005"/>
      <c r="E19" s="1006"/>
      <c r="F19" s="1285"/>
      <c r="G19" s="1006"/>
      <c r="H19" s="1154"/>
      <c r="I19" s="1154"/>
      <c r="J19" s="1154"/>
      <c r="K19" s="1154"/>
      <c r="L19" s="1154"/>
      <c r="M19" s="992"/>
      <c r="N19" s="992"/>
      <c r="O19" s="993"/>
    </row>
    <row r="20" spans="1:23" ht="13.75" thickBot="1">
      <c r="A20" s="1747" t="s">
        <v>389</v>
      </c>
      <c r="B20" s="1747"/>
      <c r="C20" s="1748"/>
      <c r="D20" s="976">
        <f>F12</f>
        <v>67</v>
      </c>
      <c r="E20" s="976"/>
      <c r="F20" s="976"/>
      <c r="G20" s="976"/>
      <c r="H20" s="1155"/>
      <c r="I20" s="1105"/>
      <c r="J20" s="1105"/>
      <c r="K20" s="1105"/>
      <c r="L20" s="1105"/>
      <c r="M20" s="990"/>
      <c r="N20" s="989"/>
      <c r="O20" s="994"/>
    </row>
    <row r="21" spans="1:23" ht="14.1" customHeight="1">
      <c r="A21" s="1749" t="s">
        <v>26</v>
      </c>
      <c r="B21" s="1751" t="s">
        <v>390</v>
      </c>
      <c r="C21" s="1753" t="s">
        <v>59</v>
      </c>
      <c r="D21" s="975">
        <v>24999.96</v>
      </c>
      <c r="E21" s="975"/>
      <c r="F21" s="975"/>
      <c r="G21" s="975"/>
      <c r="H21" s="975"/>
      <c r="I21" s="975"/>
      <c r="J21" s="975"/>
      <c r="K21" s="975"/>
      <c r="L21" s="975"/>
      <c r="M21" s="990"/>
      <c r="N21" s="989"/>
      <c r="O21" s="994"/>
    </row>
    <row r="22" spans="1:23" ht="14.1" customHeight="1">
      <c r="A22" s="1750"/>
      <c r="B22" s="1752"/>
      <c r="C22" s="1754"/>
      <c r="D22" s="1651"/>
      <c r="E22" s="1651"/>
      <c r="F22" s="1651"/>
      <c r="G22" s="1651"/>
      <c r="H22" s="1651"/>
      <c r="I22" s="1651"/>
      <c r="J22" s="1651"/>
      <c r="K22" s="1651"/>
      <c r="L22" s="1755"/>
      <c r="M22" s="991"/>
      <c r="N22" s="208"/>
      <c r="O22" s="995"/>
    </row>
    <row r="23" spans="1:23" ht="15.05">
      <c r="A23" s="979" t="s">
        <v>1061</v>
      </c>
      <c r="B23" s="604">
        <v>74</v>
      </c>
      <c r="C23" s="148">
        <v>0</v>
      </c>
      <c r="D23" s="982">
        <v>0</v>
      </c>
      <c r="E23" s="982">
        <v>0</v>
      </c>
      <c r="F23" s="982">
        <v>0</v>
      </c>
      <c r="G23" s="1111">
        <v>0</v>
      </c>
      <c r="H23" s="982">
        <v>0</v>
      </c>
      <c r="I23" s="1351">
        <v>0</v>
      </c>
      <c r="J23" s="982">
        <v>0</v>
      </c>
      <c r="K23" s="982">
        <v>0</v>
      </c>
      <c r="L23" s="982">
        <v>0</v>
      </c>
      <c r="M23" s="980">
        <f>D23+E23+F23+G23+H23+I23+J23+K23+L23</f>
        <v>0</v>
      </c>
      <c r="N23" s="1198">
        <f>I10</f>
        <v>102926.63999999998</v>
      </c>
      <c r="O23" s="1157">
        <f>M23-N24</f>
        <v>-102926.63999999998</v>
      </c>
    </row>
    <row r="24" spans="1:23" ht="15.05">
      <c r="A24" s="119">
        <f t="shared" ref="A24:C39" si="0">A23+1</f>
        <v>2027</v>
      </c>
      <c r="B24" s="602">
        <f t="shared" si="0"/>
        <v>75</v>
      </c>
      <c r="C24" s="603">
        <f t="shared" si="0"/>
        <v>1</v>
      </c>
      <c r="D24" s="982">
        <v>0</v>
      </c>
      <c r="E24" s="982">
        <v>0</v>
      </c>
      <c r="F24" s="982">
        <v>0</v>
      </c>
      <c r="G24" s="1111">
        <v>0</v>
      </c>
      <c r="H24" s="982">
        <v>0</v>
      </c>
      <c r="I24" s="1351">
        <v>0</v>
      </c>
      <c r="J24" s="982">
        <v>0</v>
      </c>
      <c r="K24" s="982">
        <v>0</v>
      </c>
      <c r="L24" s="982">
        <v>0</v>
      </c>
      <c r="M24" s="980">
        <f t="shared" ref="M24:M40" si="1">D24+E24+F24+G24+H24+I24+J24+K24+L24</f>
        <v>0</v>
      </c>
      <c r="N24" s="967">
        <f>I10</f>
        <v>102926.63999999998</v>
      </c>
      <c r="O24" s="1157">
        <f t="shared" ref="O24:O43" si="2">M24-N25</f>
        <v>-102926.63999999998</v>
      </c>
    </row>
    <row r="25" spans="1:23" ht="15.05">
      <c r="A25" s="155">
        <f t="shared" si="0"/>
        <v>2028</v>
      </c>
      <c r="B25" s="1287">
        <f t="shared" si="0"/>
        <v>76</v>
      </c>
      <c r="C25" s="148">
        <f t="shared" si="0"/>
        <v>2</v>
      </c>
      <c r="D25" s="982">
        <v>0</v>
      </c>
      <c r="E25" s="982">
        <v>0</v>
      </c>
      <c r="F25" s="982">
        <v>0</v>
      </c>
      <c r="G25" s="1111">
        <v>0</v>
      </c>
      <c r="H25" s="982">
        <v>0</v>
      </c>
      <c r="I25" s="1351">
        <v>0</v>
      </c>
      <c r="J25" s="982">
        <v>0</v>
      </c>
      <c r="K25" s="982">
        <v>0</v>
      </c>
      <c r="L25" s="982">
        <v>0</v>
      </c>
      <c r="M25" s="980">
        <f t="shared" si="1"/>
        <v>0</v>
      </c>
      <c r="N25" s="967">
        <f>I10</f>
        <v>102926.63999999998</v>
      </c>
      <c r="O25" s="1157">
        <f t="shared" si="2"/>
        <v>-102926.63999999998</v>
      </c>
    </row>
    <row r="26" spans="1:23" ht="15.05">
      <c r="A26" s="119">
        <f t="shared" si="0"/>
        <v>2029</v>
      </c>
      <c r="B26" s="706">
        <f t="shared" si="0"/>
        <v>77</v>
      </c>
      <c r="C26" s="706">
        <f t="shared" si="0"/>
        <v>3</v>
      </c>
      <c r="D26" s="982">
        <v>0</v>
      </c>
      <c r="E26" s="982">
        <v>0</v>
      </c>
      <c r="F26" s="982">
        <v>0</v>
      </c>
      <c r="G26" s="1111">
        <v>0</v>
      </c>
      <c r="H26" s="982">
        <v>0</v>
      </c>
      <c r="I26" s="1351">
        <v>0</v>
      </c>
      <c r="J26" s="982">
        <v>0</v>
      </c>
      <c r="K26" s="982">
        <v>0</v>
      </c>
      <c r="L26" s="982">
        <v>0</v>
      </c>
      <c r="M26" s="980">
        <f t="shared" si="1"/>
        <v>0</v>
      </c>
      <c r="N26" s="967">
        <f>I10</f>
        <v>102926.63999999998</v>
      </c>
      <c r="O26" s="1157">
        <f t="shared" si="2"/>
        <v>-102926.63999999998</v>
      </c>
    </row>
    <row r="27" spans="1:23" ht="15.05">
      <c r="A27" s="119">
        <f t="shared" si="0"/>
        <v>2030</v>
      </c>
      <c r="B27" s="148">
        <f t="shared" si="0"/>
        <v>78</v>
      </c>
      <c r="C27" s="148">
        <f t="shared" si="0"/>
        <v>4</v>
      </c>
      <c r="D27" s="982">
        <v>0</v>
      </c>
      <c r="E27" s="982">
        <v>0</v>
      </c>
      <c r="F27" s="982">
        <v>0</v>
      </c>
      <c r="G27" s="1111">
        <v>0</v>
      </c>
      <c r="H27" s="982">
        <v>0</v>
      </c>
      <c r="I27" s="1351">
        <v>0</v>
      </c>
      <c r="J27" s="982">
        <v>0</v>
      </c>
      <c r="K27" s="982">
        <v>0</v>
      </c>
      <c r="L27" s="982">
        <v>0</v>
      </c>
      <c r="M27" s="980">
        <f t="shared" si="1"/>
        <v>0</v>
      </c>
      <c r="N27" s="967">
        <f>I10</f>
        <v>102926.63999999998</v>
      </c>
      <c r="O27" s="1157">
        <f t="shared" si="2"/>
        <v>-102926.63999999998</v>
      </c>
    </row>
    <row r="28" spans="1:23" ht="15.05">
      <c r="A28" s="119">
        <f t="shared" si="0"/>
        <v>2031</v>
      </c>
      <c r="B28" s="602">
        <f t="shared" si="0"/>
        <v>79</v>
      </c>
      <c r="C28" s="602">
        <f t="shared" si="0"/>
        <v>5</v>
      </c>
      <c r="D28" s="982">
        <v>0</v>
      </c>
      <c r="E28" s="982">
        <v>0</v>
      </c>
      <c r="F28" s="982">
        <v>0</v>
      </c>
      <c r="G28" s="1111">
        <v>0</v>
      </c>
      <c r="H28" s="982">
        <v>0</v>
      </c>
      <c r="I28" s="1351">
        <v>0</v>
      </c>
      <c r="J28" s="982">
        <v>0</v>
      </c>
      <c r="K28" s="982">
        <v>0</v>
      </c>
      <c r="L28" s="982">
        <v>0</v>
      </c>
      <c r="M28" s="980">
        <f t="shared" si="1"/>
        <v>0</v>
      </c>
      <c r="N28" s="967">
        <f>I10</f>
        <v>102926.63999999998</v>
      </c>
      <c r="O28" s="1157">
        <f t="shared" si="2"/>
        <v>-102926.63999999998</v>
      </c>
    </row>
    <row r="29" spans="1:23" ht="15.05">
      <c r="A29" s="155">
        <f t="shared" si="0"/>
        <v>2032</v>
      </c>
      <c r="B29" s="148">
        <f t="shared" si="0"/>
        <v>80</v>
      </c>
      <c r="C29" s="148">
        <f t="shared" si="0"/>
        <v>6</v>
      </c>
      <c r="D29" s="982">
        <v>0</v>
      </c>
      <c r="E29" s="982">
        <v>0</v>
      </c>
      <c r="F29" s="982">
        <v>0</v>
      </c>
      <c r="G29" s="1111">
        <v>0</v>
      </c>
      <c r="H29" s="982">
        <v>0</v>
      </c>
      <c r="I29" s="1351">
        <v>0</v>
      </c>
      <c r="J29" s="982">
        <v>0</v>
      </c>
      <c r="K29" s="982">
        <v>0</v>
      </c>
      <c r="L29" s="982">
        <v>0</v>
      </c>
      <c r="M29" s="980">
        <f t="shared" si="1"/>
        <v>0</v>
      </c>
      <c r="N29" s="967">
        <f>I10</f>
        <v>102926.63999999998</v>
      </c>
      <c r="O29" s="1157">
        <f t="shared" si="2"/>
        <v>-102926.63999999998</v>
      </c>
    </row>
    <row r="30" spans="1:23" ht="15.05">
      <c r="A30" s="119">
        <f t="shared" si="0"/>
        <v>2033</v>
      </c>
      <c r="B30" s="706">
        <f t="shared" si="0"/>
        <v>81</v>
      </c>
      <c r="C30" s="706">
        <f t="shared" si="0"/>
        <v>7</v>
      </c>
      <c r="D30" s="982">
        <v>0</v>
      </c>
      <c r="E30" s="982">
        <v>0</v>
      </c>
      <c r="F30" s="982">
        <v>0</v>
      </c>
      <c r="G30" s="1111">
        <v>0</v>
      </c>
      <c r="H30" s="982">
        <v>0</v>
      </c>
      <c r="I30" s="1351">
        <v>0</v>
      </c>
      <c r="J30" s="982">
        <v>0</v>
      </c>
      <c r="K30" s="982">
        <v>0</v>
      </c>
      <c r="L30" s="982">
        <v>0</v>
      </c>
      <c r="M30" s="980">
        <f t="shared" si="1"/>
        <v>0</v>
      </c>
      <c r="N30" s="967">
        <f>I10</f>
        <v>102926.63999999998</v>
      </c>
      <c r="O30" s="1157">
        <f t="shared" si="2"/>
        <v>-102926.63999999998</v>
      </c>
    </row>
    <row r="31" spans="1:23" ht="15.05">
      <c r="A31" s="119">
        <f t="shared" si="0"/>
        <v>2034</v>
      </c>
      <c r="B31" s="148">
        <f t="shared" si="0"/>
        <v>82</v>
      </c>
      <c r="C31" s="148">
        <f t="shared" si="0"/>
        <v>8</v>
      </c>
      <c r="D31" s="982">
        <v>0</v>
      </c>
      <c r="E31" s="982">
        <v>0</v>
      </c>
      <c r="F31" s="982">
        <v>0</v>
      </c>
      <c r="G31" s="1111">
        <v>0</v>
      </c>
      <c r="H31" s="982">
        <v>0</v>
      </c>
      <c r="I31" s="1351">
        <v>0</v>
      </c>
      <c r="J31" s="982">
        <v>0</v>
      </c>
      <c r="K31" s="982">
        <v>0</v>
      </c>
      <c r="L31" s="982">
        <v>0</v>
      </c>
      <c r="M31" s="980">
        <f t="shared" si="1"/>
        <v>0</v>
      </c>
      <c r="N31" s="967">
        <f>I10</f>
        <v>102926.63999999998</v>
      </c>
      <c r="O31" s="1157">
        <f t="shared" si="2"/>
        <v>-102926.63999999998</v>
      </c>
    </row>
    <row r="32" spans="1:23" ht="15.05">
      <c r="A32" s="119">
        <f t="shared" si="0"/>
        <v>2035</v>
      </c>
      <c r="B32" s="148">
        <f t="shared" si="0"/>
        <v>83</v>
      </c>
      <c r="C32" s="148">
        <f t="shared" si="0"/>
        <v>9</v>
      </c>
      <c r="D32" s="982">
        <v>0</v>
      </c>
      <c r="E32" s="982">
        <v>0</v>
      </c>
      <c r="F32" s="982">
        <v>0</v>
      </c>
      <c r="G32" s="1111">
        <v>0</v>
      </c>
      <c r="H32" s="982">
        <v>0</v>
      </c>
      <c r="I32" s="1351">
        <v>0</v>
      </c>
      <c r="J32" s="982">
        <v>0</v>
      </c>
      <c r="K32" s="982">
        <v>0</v>
      </c>
      <c r="L32" s="982">
        <v>0</v>
      </c>
      <c r="M32" s="980">
        <f t="shared" si="1"/>
        <v>0</v>
      </c>
      <c r="N32" s="967">
        <f>I10</f>
        <v>102926.63999999998</v>
      </c>
      <c r="O32" s="1157">
        <f t="shared" si="2"/>
        <v>-102926.63999999998</v>
      </c>
    </row>
    <row r="33" spans="1:15" ht="15.05">
      <c r="A33" s="119">
        <f t="shared" si="0"/>
        <v>2036</v>
      </c>
      <c r="B33" s="148">
        <f t="shared" si="0"/>
        <v>84</v>
      </c>
      <c r="C33" s="148">
        <f t="shared" si="0"/>
        <v>10</v>
      </c>
      <c r="D33" s="982">
        <v>0</v>
      </c>
      <c r="E33" s="982">
        <v>0</v>
      </c>
      <c r="F33" s="982">
        <v>0</v>
      </c>
      <c r="G33" s="1111">
        <v>0</v>
      </c>
      <c r="H33" s="982">
        <v>0</v>
      </c>
      <c r="I33" s="1351">
        <v>0</v>
      </c>
      <c r="J33" s="982">
        <v>0</v>
      </c>
      <c r="K33" s="982">
        <v>0</v>
      </c>
      <c r="L33" s="982">
        <v>0</v>
      </c>
      <c r="M33" s="980">
        <f t="shared" si="1"/>
        <v>0</v>
      </c>
      <c r="N33" s="967">
        <f>I10</f>
        <v>102926.63999999998</v>
      </c>
      <c r="O33" s="1157">
        <f t="shared" si="2"/>
        <v>-102926.63999999998</v>
      </c>
    </row>
    <row r="34" spans="1:15" ht="15.05">
      <c r="A34" s="119">
        <f t="shared" si="0"/>
        <v>2037</v>
      </c>
      <c r="B34" s="148">
        <f t="shared" si="0"/>
        <v>85</v>
      </c>
      <c r="C34" s="148">
        <f t="shared" si="0"/>
        <v>11</v>
      </c>
      <c r="D34" s="982">
        <v>0</v>
      </c>
      <c r="E34" s="982">
        <v>0</v>
      </c>
      <c r="F34" s="982">
        <v>0</v>
      </c>
      <c r="G34" s="1111">
        <v>0</v>
      </c>
      <c r="H34" s="982">
        <v>0</v>
      </c>
      <c r="I34" s="1351">
        <v>0</v>
      </c>
      <c r="J34" s="982">
        <v>0</v>
      </c>
      <c r="K34" s="982">
        <v>0</v>
      </c>
      <c r="L34" s="982">
        <v>0</v>
      </c>
      <c r="M34" s="980">
        <f t="shared" si="1"/>
        <v>0</v>
      </c>
      <c r="N34" s="967">
        <f>I10</f>
        <v>102926.63999999998</v>
      </c>
      <c r="O34" s="1157">
        <f t="shared" si="2"/>
        <v>-102926.63999999998</v>
      </c>
    </row>
    <row r="35" spans="1:15" ht="15.05">
      <c r="A35" s="119">
        <f t="shared" si="0"/>
        <v>2038</v>
      </c>
      <c r="B35" s="148">
        <f t="shared" si="0"/>
        <v>86</v>
      </c>
      <c r="C35" s="148">
        <f t="shared" si="0"/>
        <v>12</v>
      </c>
      <c r="D35" s="982">
        <v>0</v>
      </c>
      <c r="E35" s="982">
        <v>0</v>
      </c>
      <c r="F35" s="982">
        <v>0</v>
      </c>
      <c r="G35" s="1111">
        <v>0</v>
      </c>
      <c r="H35" s="982">
        <v>0</v>
      </c>
      <c r="I35" s="1351">
        <v>0</v>
      </c>
      <c r="J35" s="982">
        <v>0</v>
      </c>
      <c r="K35" s="982">
        <v>0</v>
      </c>
      <c r="L35" s="982">
        <v>0</v>
      </c>
      <c r="M35" s="980">
        <f t="shared" si="1"/>
        <v>0</v>
      </c>
      <c r="N35" s="967">
        <f>I10</f>
        <v>102926.63999999998</v>
      </c>
      <c r="O35" s="1157">
        <f t="shared" si="2"/>
        <v>-102926.63999999998</v>
      </c>
    </row>
    <row r="36" spans="1:15" ht="15.05">
      <c r="A36" s="119">
        <f t="shared" si="0"/>
        <v>2039</v>
      </c>
      <c r="B36" s="148">
        <f t="shared" si="0"/>
        <v>87</v>
      </c>
      <c r="C36" s="148">
        <f t="shared" si="0"/>
        <v>13</v>
      </c>
      <c r="D36" s="982">
        <v>0</v>
      </c>
      <c r="E36" s="982">
        <v>0</v>
      </c>
      <c r="F36" s="982">
        <v>0</v>
      </c>
      <c r="G36" s="1111">
        <v>0</v>
      </c>
      <c r="H36" s="982">
        <v>0</v>
      </c>
      <c r="I36" s="1351">
        <v>0</v>
      </c>
      <c r="J36" s="982">
        <v>0</v>
      </c>
      <c r="K36" s="982">
        <v>0</v>
      </c>
      <c r="L36" s="982">
        <v>0</v>
      </c>
      <c r="M36" s="980">
        <f t="shared" si="1"/>
        <v>0</v>
      </c>
      <c r="N36" s="967">
        <f>I10</f>
        <v>102926.63999999998</v>
      </c>
      <c r="O36" s="1157">
        <f t="shared" si="2"/>
        <v>-102926.63999999998</v>
      </c>
    </row>
    <row r="37" spans="1:15" ht="15.05">
      <c r="A37" s="119">
        <f t="shared" si="0"/>
        <v>2040</v>
      </c>
      <c r="B37" s="148">
        <f t="shared" si="0"/>
        <v>88</v>
      </c>
      <c r="C37" s="148">
        <f t="shared" si="0"/>
        <v>14</v>
      </c>
      <c r="D37" s="982">
        <v>0</v>
      </c>
      <c r="E37" s="982">
        <v>0</v>
      </c>
      <c r="F37" s="982">
        <v>0</v>
      </c>
      <c r="G37" s="1111">
        <v>0</v>
      </c>
      <c r="H37" s="982">
        <v>0</v>
      </c>
      <c r="I37" s="1351">
        <v>0</v>
      </c>
      <c r="J37" s="982">
        <v>0</v>
      </c>
      <c r="K37" s="982">
        <v>0</v>
      </c>
      <c r="L37" s="982">
        <v>0</v>
      </c>
      <c r="M37" s="980">
        <f t="shared" si="1"/>
        <v>0</v>
      </c>
      <c r="N37" s="967">
        <f>I10</f>
        <v>102926.63999999998</v>
      </c>
      <c r="O37" s="1157">
        <f t="shared" si="2"/>
        <v>-102926.63999999998</v>
      </c>
    </row>
    <row r="38" spans="1:15" ht="15.05">
      <c r="A38" s="155">
        <f t="shared" si="0"/>
        <v>2041</v>
      </c>
      <c r="B38" s="148">
        <f t="shared" si="0"/>
        <v>89</v>
      </c>
      <c r="C38" s="1165">
        <f t="shared" si="0"/>
        <v>15</v>
      </c>
      <c r="D38" s="982">
        <v>0</v>
      </c>
      <c r="E38" s="982">
        <v>0</v>
      </c>
      <c r="F38" s="982">
        <v>0</v>
      </c>
      <c r="G38" s="1111">
        <v>0</v>
      </c>
      <c r="H38" s="982">
        <v>0</v>
      </c>
      <c r="I38" s="1351">
        <v>0</v>
      </c>
      <c r="J38" s="982">
        <v>0</v>
      </c>
      <c r="K38" s="982">
        <v>0</v>
      </c>
      <c r="L38" s="982">
        <v>0</v>
      </c>
      <c r="M38" s="980">
        <f t="shared" si="1"/>
        <v>0</v>
      </c>
      <c r="N38" s="967">
        <f>I10</f>
        <v>102926.63999999998</v>
      </c>
      <c r="O38" s="1157">
        <f t="shared" si="2"/>
        <v>-102926.63999999998</v>
      </c>
    </row>
    <row r="39" spans="1:15" ht="15.05">
      <c r="A39" s="119">
        <f t="shared" si="0"/>
        <v>2042</v>
      </c>
      <c r="B39" s="706">
        <f t="shared" si="0"/>
        <v>90</v>
      </c>
      <c r="C39" s="148">
        <f t="shared" si="0"/>
        <v>16</v>
      </c>
      <c r="D39" s="982">
        <v>0</v>
      </c>
      <c r="E39" s="982">
        <v>0</v>
      </c>
      <c r="F39" s="982">
        <v>0</v>
      </c>
      <c r="G39" s="1111">
        <v>0</v>
      </c>
      <c r="H39" s="982">
        <v>0</v>
      </c>
      <c r="I39" s="1351">
        <v>0</v>
      </c>
      <c r="J39" s="982">
        <v>0</v>
      </c>
      <c r="K39" s="982">
        <v>0</v>
      </c>
      <c r="L39" s="982">
        <v>0</v>
      </c>
      <c r="M39" s="980">
        <f t="shared" si="1"/>
        <v>0</v>
      </c>
      <c r="N39" s="967">
        <f>I10</f>
        <v>102926.63999999998</v>
      </c>
      <c r="O39" s="1157">
        <f t="shared" si="2"/>
        <v>-102926.63999999998</v>
      </c>
    </row>
    <row r="40" spans="1:15" ht="15.05">
      <c r="A40" s="119">
        <f t="shared" ref="A40:C52" si="3">A39+1</f>
        <v>2043</v>
      </c>
      <c r="B40" s="148">
        <f t="shared" si="3"/>
        <v>91</v>
      </c>
      <c r="C40" s="148">
        <f t="shared" si="3"/>
        <v>17</v>
      </c>
      <c r="D40" s="982">
        <v>0</v>
      </c>
      <c r="E40" s="982">
        <v>0</v>
      </c>
      <c r="F40" s="982">
        <v>0</v>
      </c>
      <c r="G40" s="1111">
        <v>0</v>
      </c>
      <c r="H40" s="982">
        <v>0</v>
      </c>
      <c r="I40" s="1351">
        <v>0</v>
      </c>
      <c r="J40" s="982">
        <v>0</v>
      </c>
      <c r="K40" s="982">
        <v>0</v>
      </c>
      <c r="L40" s="982">
        <v>0</v>
      </c>
      <c r="M40" s="980">
        <f t="shared" si="1"/>
        <v>0</v>
      </c>
      <c r="N40" s="967">
        <f>I10</f>
        <v>102926.63999999998</v>
      </c>
      <c r="O40" s="1157">
        <f t="shared" si="2"/>
        <v>-102926.63999999998</v>
      </c>
    </row>
    <row r="41" spans="1:15" ht="15.05">
      <c r="A41" s="119">
        <f>A40+1</f>
        <v>2044</v>
      </c>
      <c r="B41" s="148">
        <f>B40+1</f>
        <v>92</v>
      </c>
      <c r="C41" s="148">
        <f>C40+1</f>
        <v>18</v>
      </c>
      <c r="D41" s="982">
        <v>0</v>
      </c>
      <c r="E41" s="982">
        <v>0</v>
      </c>
      <c r="F41" s="982">
        <v>0</v>
      </c>
      <c r="G41" s="1111">
        <v>0</v>
      </c>
      <c r="H41" s="982">
        <v>0</v>
      </c>
      <c r="I41" s="1351">
        <v>0</v>
      </c>
      <c r="J41" s="982">
        <v>0</v>
      </c>
      <c r="K41" s="982">
        <v>0</v>
      </c>
      <c r="L41" s="982">
        <v>0</v>
      </c>
      <c r="M41" s="981">
        <f t="shared" ref="M41:M57" si="4">SUM(D41+E41+F41+G41+H41+I41+J41+L41)</f>
        <v>0</v>
      </c>
      <c r="N41" s="967">
        <f>I10</f>
        <v>102926.63999999998</v>
      </c>
      <c r="O41" s="1157">
        <f t="shared" si="2"/>
        <v>-102926.63999999998</v>
      </c>
    </row>
    <row r="42" spans="1:15" ht="15.05">
      <c r="A42" s="119">
        <f t="shared" si="3"/>
        <v>2045</v>
      </c>
      <c r="B42" s="148">
        <f t="shared" si="3"/>
        <v>93</v>
      </c>
      <c r="C42" s="148">
        <f t="shared" si="3"/>
        <v>19</v>
      </c>
      <c r="D42" s="982">
        <v>0</v>
      </c>
      <c r="E42" s="982">
        <v>0</v>
      </c>
      <c r="F42" s="982">
        <v>0</v>
      </c>
      <c r="G42" s="1111">
        <v>0</v>
      </c>
      <c r="H42" s="982">
        <v>0</v>
      </c>
      <c r="I42" s="1351">
        <v>0</v>
      </c>
      <c r="J42" s="982">
        <v>0</v>
      </c>
      <c r="K42" s="982">
        <v>0</v>
      </c>
      <c r="L42" s="982">
        <v>0</v>
      </c>
      <c r="M42" s="982">
        <f t="shared" si="4"/>
        <v>0</v>
      </c>
      <c r="N42" s="967">
        <f>I10</f>
        <v>102926.63999999998</v>
      </c>
      <c r="O42" s="1157">
        <f t="shared" si="2"/>
        <v>-102926.63999999998</v>
      </c>
    </row>
    <row r="43" spans="1:15" ht="15.05">
      <c r="A43" s="119">
        <f t="shared" si="3"/>
        <v>2046</v>
      </c>
      <c r="B43" s="148">
        <f t="shared" si="3"/>
        <v>94</v>
      </c>
      <c r="C43" s="148">
        <f t="shared" si="3"/>
        <v>20</v>
      </c>
      <c r="D43" s="982">
        <v>0</v>
      </c>
      <c r="E43" s="982">
        <v>0</v>
      </c>
      <c r="F43" s="982">
        <v>0</v>
      </c>
      <c r="G43" s="1111">
        <v>0</v>
      </c>
      <c r="H43" s="982">
        <v>0</v>
      </c>
      <c r="I43" s="1351">
        <v>0</v>
      </c>
      <c r="J43" s="982">
        <v>0</v>
      </c>
      <c r="K43" s="982">
        <v>0</v>
      </c>
      <c r="L43" s="982">
        <v>0</v>
      </c>
      <c r="M43" s="980">
        <f t="shared" si="4"/>
        <v>0</v>
      </c>
      <c r="N43" s="967">
        <f>I10</f>
        <v>102926.63999999998</v>
      </c>
      <c r="O43" s="1157">
        <f t="shared" si="2"/>
        <v>-102926.63999999998</v>
      </c>
    </row>
    <row r="44" spans="1:15" ht="15.05">
      <c r="A44" s="119">
        <f t="shared" si="3"/>
        <v>2047</v>
      </c>
      <c r="B44" s="148">
        <f t="shared" si="3"/>
        <v>95</v>
      </c>
      <c r="C44" s="148">
        <f t="shared" si="3"/>
        <v>21</v>
      </c>
      <c r="D44" s="982">
        <v>0</v>
      </c>
      <c r="E44" s="982">
        <v>0</v>
      </c>
      <c r="F44" s="982">
        <v>0</v>
      </c>
      <c r="G44" s="1111">
        <v>0</v>
      </c>
      <c r="H44" s="982">
        <v>0</v>
      </c>
      <c r="I44" s="1351">
        <v>0</v>
      </c>
      <c r="J44" s="982">
        <v>0</v>
      </c>
      <c r="K44" s="982">
        <v>0</v>
      </c>
      <c r="L44" s="982">
        <v>0</v>
      </c>
      <c r="M44" s="980">
        <f t="shared" si="4"/>
        <v>0</v>
      </c>
      <c r="N44" s="967">
        <f>I10</f>
        <v>102926.63999999998</v>
      </c>
      <c r="O44" s="1290">
        <f>M44-N44</f>
        <v>-102926.63999999998</v>
      </c>
    </row>
    <row r="45" spans="1:15" ht="12.45">
      <c r="A45" s="1762"/>
      <c r="B45" s="1763"/>
      <c r="C45" s="1763"/>
      <c r="D45" s="1763"/>
      <c r="E45" s="1763"/>
      <c r="F45" s="1763"/>
      <c r="G45" s="1763"/>
      <c r="H45" s="1763"/>
      <c r="I45" s="1763"/>
      <c r="J45" s="1763"/>
      <c r="K45" s="1763"/>
      <c r="L45" s="1763"/>
      <c r="M45" s="1763"/>
      <c r="N45" s="1763"/>
      <c r="O45" s="1764"/>
    </row>
    <row r="46" spans="1:15" ht="23.6">
      <c r="A46" s="1765"/>
      <c r="B46" s="1766"/>
      <c r="C46" s="1766"/>
      <c r="D46" s="1766"/>
      <c r="E46" s="1766"/>
      <c r="F46" s="1766"/>
      <c r="G46" s="1766"/>
      <c r="H46" s="1766"/>
      <c r="I46" s="1766"/>
      <c r="J46" s="1766"/>
      <c r="K46" s="1766"/>
      <c r="L46" s="1766"/>
      <c r="M46" s="1766"/>
      <c r="N46" s="1766"/>
      <c r="O46" s="1766"/>
    </row>
    <row r="47" spans="1:15" ht="14.4">
      <c r="A47" s="1283"/>
      <c r="B47" s="1282"/>
      <c r="C47" s="1282"/>
      <c r="D47" s="1047"/>
      <c r="E47" s="1047"/>
      <c r="F47" s="1047"/>
      <c r="G47" s="1047"/>
      <c r="H47" s="1047"/>
      <c r="I47" s="1047"/>
      <c r="J47" s="1047"/>
      <c r="K47" s="1047"/>
      <c r="L47" s="1047"/>
      <c r="M47" s="1047"/>
      <c r="N47" s="1048"/>
      <c r="O47" s="1049"/>
    </row>
    <row r="48" spans="1:15" ht="18.350000000000001">
      <c r="A48" s="1767"/>
      <c r="B48" s="1768"/>
      <c r="C48" s="1769"/>
      <c r="D48" s="1769"/>
      <c r="E48" s="1769"/>
      <c r="F48" s="1769"/>
      <c r="G48" s="1769"/>
      <c r="H48" s="1769"/>
      <c r="I48" s="1769"/>
      <c r="J48" s="1769"/>
      <c r="K48" s="1769"/>
      <c r="L48" s="1769"/>
      <c r="M48" s="1769"/>
      <c r="N48" s="1769"/>
      <c r="O48" s="1770"/>
    </row>
    <row r="49" spans="1:23" ht="14.4">
      <c r="A49" s="1055">
        <f>A44+1</f>
        <v>2048</v>
      </c>
      <c r="B49" s="1199">
        <f>B44+1</f>
        <v>96</v>
      </c>
      <c r="C49" s="1166">
        <f>C44+1</f>
        <v>22</v>
      </c>
      <c r="D49" s="982">
        <v>0</v>
      </c>
      <c r="E49" s="982">
        <v>0</v>
      </c>
      <c r="F49" s="982">
        <v>0</v>
      </c>
      <c r="G49" s="982">
        <v>0</v>
      </c>
      <c r="H49" s="982">
        <v>0</v>
      </c>
      <c r="I49" s="982">
        <v>0</v>
      </c>
      <c r="J49" s="982">
        <v>0</v>
      </c>
      <c r="K49" s="982">
        <v>0</v>
      </c>
      <c r="L49" s="982">
        <v>0</v>
      </c>
      <c r="M49" s="982">
        <f>SUM(D49+E50+F49+G50+H49+I49+J49+L49)</f>
        <v>0</v>
      </c>
      <c r="N49" s="967">
        <v>0</v>
      </c>
      <c r="O49" s="977">
        <f t="shared" ref="O49:O51" si="5">M49-N50</f>
        <v>0</v>
      </c>
    </row>
    <row r="50" spans="1:23" ht="14.4">
      <c r="A50" s="119">
        <f t="shared" si="3"/>
        <v>2049</v>
      </c>
      <c r="B50" s="706">
        <f t="shared" si="3"/>
        <v>97</v>
      </c>
      <c r="C50" s="148">
        <f t="shared" si="3"/>
        <v>23</v>
      </c>
      <c r="D50" s="982">
        <v>0</v>
      </c>
      <c r="E50" s="982">
        <v>0</v>
      </c>
      <c r="F50" s="982">
        <v>0</v>
      </c>
      <c r="G50" s="982">
        <v>0</v>
      </c>
      <c r="H50" s="982">
        <v>0</v>
      </c>
      <c r="I50" s="982">
        <v>0</v>
      </c>
      <c r="J50" s="982">
        <v>0</v>
      </c>
      <c r="K50" s="982">
        <v>0</v>
      </c>
      <c r="L50" s="982">
        <v>0</v>
      </c>
      <c r="M50" s="982">
        <f>SUM(D50+E51+F50+G51+H50+I50+J50+L50)</f>
        <v>0</v>
      </c>
      <c r="N50" s="967">
        <v>0</v>
      </c>
      <c r="O50" s="977">
        <f t="shared" si="5"/>
        <v>0</v>
      </c>
    </row>
    <row r="51" spans="1:23" ht="14.4">
      <c r="A51" s="119">
        <f t="shared" si="3"/>
        <v>2050</v>
      </c>
      <c r="B51" s="148">
        <f t="shared" si="3"/>
        <v>98</v>
      </c>
      <c r="C51" s="148">
        <f t="shared" si="3"/>
        <v>24</v>
      </c>
      <c r="D51" s="982">
        <v>0</v>
      </c>
      <c r="E51" s="982">
        <v>0</v>
      </c>
      <c r="F51" s="982">
        <v>0</v>
      </c>
      <c r="G51" s="982">
        <v>0</v>
      </c>
      <c r="H51" s="982">
        <v>0</v>
      </c>
      <c r="I51" s="982">
        <v>0</v>
      </c>
      <c r="J51" s="982">
        <v>0</v>
      </c>
      <c r="K51" s="982">
        <v>0</v>
      </c>
      <c r="L51" s="982">
        <v>0</v>
      </c>
      <c r="M51" s="982">
        <f t="shared" si="4"/>
        <v>0</v>
      </c>
      <c r="N51" s="967">
        <v>0</v>
      </c>
      <c r="O51" s="977">
        <f t="shared" si="5"/>
        <v>0</v>
      </c>
    </row>
    <row r="52" spans="1:23" ht="14.4">
      <c r="A52" s="144">
        <f t="shared" si="3"/>
        <v>2051</v>
      </c>
      <c r="B52" s="602">
        <f t="shared" si="3"/>
        <v>99</v>
      </c>
      <c r="C52" s="602">
        <f t="shared" si="3"/>
        <v>25</v>
      </c>
      <c r="D52" s="1050">
        <v>0</v>
      </c>
      <c r="E52" s="1050">
        <v>0</v>
      </c>
      <c r="F52" s="1050">
        <v>0</v>
      </c>
      <c r="G52" s="1050">
        <v>0</v>
      </c>
      <c r="H52" s="1050">
        <v>0</v>
      </c>
      <c r="I52" s="1050">
        <v>0</v>
      </c>
      <c r="J52" s="1050">
        <v>0</v>
      </c>
      <c r="K52" s="1050">
        <v>0</v>
      </c>
      <c r="L52" s="1050">
        <v>0</v>
      </c>
      <c r="M52" s="1050">
        <f t="shared" si="4"/>
        <v>0</v>
      </c>
      <c r="N52" s="984">
        <v>0</v>
      </c>
      <c r="O52" s="985">
        <f>M52-N54</f>
        <v>0</v>
      </c>
    </row>
    <row r="53" spans="1:23" ht="19" thickBot="1">
      <c r="A53" s="1771"/>
      <c r="B53" s="1772"/>
      <c r="C53" s="1773"/>
      <c r="D53" s="1772"/>
      <c r="E53" s="1772"/>
      <c r="F53" s="1772"/>
      <c r="G53" s="1772"/>
      <c r="H53" s="1772"/>
      <c r="I53" s="1772"/>
      <c r="J53" s="1772"/>
      <c r="K53" s="1772"/>
      <c r="L53" s="1772"/>
      <c r="M53" s="1772"/>
      <c r="N53" s="1772"/>
      <c r="O53" s="1774"/>
      <c r="P53" s="208"/>
      <c r="Q53" s="89"/>
      <c r="R53" s="89"/>
      <c r="S53" s="89"/>
      <c r="T53" s="89"/>
      <c r="U53" s="89"/>
      <c r="V53" s="89"/>
      <c r="W53" s="89"/>
    </row>
    <row r="54" spans="1:23" ht="14.4">
      <c r="A54" s="137">
        <f>A52+1</f>
        <v>2052</v>
      </c>
      <c r="B54" s="1167">
        <f>B52+1</f>
        <v>100</v>
      </c>
      <c r="C54" s="1469">
        <f>C52+1</f>
        <v>26</v>
      </c>
      <c r="D54" s="1284">
        <v>0</v>
      </c>
      <c r="E54" s="982">
        <v>0</v>
      </c>
      <c r="F54" s="982">
        <v>0</v>
      </c>
      <c r="G54" s="982">
        <v>0</v>
      </c>
      <c r="H54" s="982">
        <v>0</v>
      </c>
      <c r="I54" s="982">
        <v>0</v>
      </c>
      <c r="J54" s="982">
        <v>0</v>
      </c>
      <c r="K54" s="982">
        <v>0</v>
      </c>
      <c r="L54" s="982">
        <v>0</v>
      </c>
      <c r="M54" s="982">
        <f>SUM(D54+E55+F54+G54+H54+I54+J54+L54)</f>
        <v>0</v>
      </c>
      <c r="N54" s="967">
        <v>0</v>
      </c>
      <c r="O54" s="977">
        <f>M54-N55</f>
        <v>0</v>
      </c>
    </row>
    <row r="55" spans="1:23" ht="11.45" customHeight="1">
      <c r="A55" s="137">
        <f t="shared" ref="A55:C57" si="6">A54+1</f>
        <v>2053</v>
      </c>
      <c r="B55" s="706">
        <f t="shared" si="6"/>
        <v>101</v>
      </c>
      <c r="C55" s="706">
        <f t="shared" si="6"/>
        <v>27</v>
      </c>
      <c r="D55" s="1284">
        <v>0</v>
      </c>
      <c r="E55" s="982">
        <v>0</v>
      </c>
      <c r="F55" s="982">
        <v>0</v>
      </c>
      <c r="G55" s="982">
        <v>0</v>
      </c>
      <c r="H55" s="982">
        <v>0</v>
      </c>
      <c r="I55" s="982">
        <v>0</v>
      </c>
      <c r="J55" s="982">
        <v>0</v>
      </c>
      <c r="K55" s="982">
        <v>0</v>
      </c>
      <c r="L55" s="982">
        <v>0</v>
      </c>
      <c r="M55" s="982">
        <f>SUM(D55+E56+F55+G55+H55+I55+J55+L55)</f>
        <v>0</v>
      </c>
      <c r="N55" s="967">
        <v>0</v>
      </c>
      <c r="O55" s="977">
        <f>M55-N55</f>
        <v>0</v>
      </c>
    </row>
    <row r="56" spans="1:23" ht="11.45" customHeight="1">
      <c r="A56" s="137">
        <f t="shared" si="6"/>
        <v>2054</v>
      </c>
      <c r="B56" s="706">
        <f t="shared" si="6"/>
        <v>102</v>
      </c>
      <c r="C56" s="706">
        <f t="shared" si="6"/>
        <v>28</v>
      </c>
      <c r="D56" s="1284">
        <v>0</v>
      </c>
      <c r="E56" s="982">
        <v>0</v>
      </c>
      <c r="F56" s="982">
        <v>0</v>
      </c>
      <c r="G56" s="982">
        <v>0</v>
      </c>
      <c r="H56" s="982">
        <v>0</v>
      </c>
      <c r="I56" s="982">
        <v>0</v>
      </c>
      <c r="J56" s="982">
        <v>0</v>
      </c>
      <c r="K56" s="982">
        <v>0</v>
      </c>
      <c r="L56" s="982">
        <v>0</v>
      </c>
      <c r="M56" s="982">
        <f t="shared" si="4"/>
        <v>0</v>
      </c>
      <c r="N56" s="967">
        <v>0</v>
      </c>
      <c r="O56" s="977">
        <f t="shared" ref="O56:O57" si="7">M56-N56</f>
        <v>0</v>
      </c>
    </row>
    <row r="57" spans="1:23" ht="11.45" customHeight="1">
      <c r="A57" s="137">
        <f t="shared" si="6"/>
        <v>2055</v>
      </c>
      <c r="B57" s="706">
        <f t="shared" si="6"/>
        <v>103</v>
      </c>
      <c r="C57" s="706">
        <f t="shared" si="6"/>
        <v>29</v>
      </c>
      <c r="D57" s="1284">
        <v>0</v>
      </c>
      <c r="E57" s="982">
        <v>0</v>
      </c>
      <c r="F57" s="982">
        <v>0</v>
      </c>
      <c r="G57" s="982">
        <v>0</v>
      </c>
      <c r="H57" s="982">
        <v>0</v>
      </c>
      <c r="I57" s="982">
        <v>0</v>
      </c>
      <c r="J57" s="982">
        <v>0</v>
      </c>
      <c r="K57" s="982">
        <v>0</v>
      </c>
      <c r="L57" s="982">
        <v>0</v>
      </c>
      <c r="M57" s="982">
        <f t="shared" si="4"/>
        <v>0</v>
      </c>
      <c r="N57" s="967">
        <v>0</v>
      </c>
      <c r="O57" s="977">
        <f t="shared" si="7"/>
        <v>0</v>
      </c>
    </row>
    <row r="58" spans="1:23" ht="12.45">
      <c r="A58" s="1537"/>
      <c r="B58" s="1537"/>
      <c r="C58" s="1537"/>
      <c r="D58" s="1537"/>
      <c r="E58" s="1537"/>
      <c r="F58" s="1537"/>
      <c r="G58" s="1537"/>
      <c r="H58" s="1537"/>
      <c r="I58" s="1537"/>
      <c r="J58" s="1537"/>
      <c r="K58" s="1537"/>
      <c r="L58" s="1537"/>
      <c r="M58" s="1537"/>
      <c r="N58" s="1537"/>
      <c r="O58" s="1538"/>
    </row>
    <row r="59" spans="1:23" ht="23.6">
      <c r="A59" s="1775" t="s">
        <v>69</v>
      </c>
      <c r="B59" s="1775"/>
      <c r="C59" s="1775"/>
      <c r="D59" s="1775"/>
      <c r="E59" s="1775"/>
      <c r="F59" s="1775"/>
      <c r="G59" s="1775"/>
      <c r="H59" s="1775"/>
      <c r="I59" s="1775"/>
      <c r="J59" s="1775"/>
      <c r="K59" s="1775"/>
      <c r="L59" s="1775"/>
      <c r="M59" s="1775"/>
      <c r="N59" s="1775"/>
      <c r="O59" s="1775"/>
    </row>
    <row r="61" spans="1:23">
      <c r="A61" s="1540" t="s">
        <v>394</v>
      </c>
      <c r="B61" s="1540"/>
      <c r="C61" s="1540"/>
      <c r="D61" s="1540"/>
      <c r="E61" s="1540"/>
      <c r="F61" s="1540"/>
      <c r="G61" s="1540"/>
      <c r="H61" s="1540"/>
      <c r="I61" s="1540"/>
      <c r="J61" s="1540"/>
      <c r="K61" s="1540"/>
      <c r="L61" s="1540"/>
      <c r="M61" s="1540"/>
      <c r="N61" s="1540"/>
      <c r="O61" s="1540"/>
    </row>
    <row r="62" spans="1:23" ht="12.45">
      <c r="A62" s="1540" t="s">
        <v>71</v>
      </c>
      <c r="B62" s="1540"/>
      <c r="C62" s="1540"/>
      <c r="D62" s="1540"/>
      <c r="E62" s="1540"/>
      <c r="F62" s="1540"/>
      <c r="G62" s="1540"/>
      <c r="H62" s="1540"/>
      <c r="I62" s="1540"/>
      <c r="J62" s="1540"/>
      <c r="K62" s="1540"/>
      <c r="L62" s="1540"/>
      <c r="M62" s="1540"/>
      <c r="N62" s="1540"/>
      <c r="O62" s="1540"/>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71"/>
  <sheetViews>
    <sheetView workbookViewId="0">
      <selection sqref="A1:XFD1048576"/>
    </sheetView>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714"/>
      <c r="E1" s="715"/>
      <c r="F1" s="1721" t="s">
        <v>395</v>
      </c>
      <c r="G1" s="1721"/>
      <c r="H1" s="1721"/>
      <c r="I1" s="1721"/>
      <c r="J1" s="1721"/>
      <c r="K1" s="1030" t="s">
        <v>396</v>
      </c>
      <c r="L1" s="1721" t="s">
        <v>397</v>
      </c>
      <c r="M1" s="1721"/>
    </row>
    <row r="2" spans="1:13" ht="24.25">
      <c r="A2" s="296">
        <f>'Egan Asset Summary'!M17</f>
        <v>321628.61</v>
      </c>
      <c r="B2" s="298">
        <f>'Egan Asset Summary'!M31</f>
        <v>0</v>
      </c>
      <c r="C2" s="297">
        <f>'Egan Asset Summary'!M30</f>
        <v>188000</v>
      </c>
      <c r="D2" s="1023"/>
      <c r="E2" s="1023"/>
      <c r="F2" s="1023"/>
      <c r="G2" s="1023"/>
      <c r="H2" s="1023"/>
      <c r="I2" s="1023"/>
      <c r="J2" s="1023"/>
      <c r="K2" s="1031" t="s">
        <v>160</v>
      </c>
      <c r="L2" s="1721" t="s">
        <v>398</v>
      </c>
      <c r="M2" s="1721"/>
    </row>
    <row r="3" spans="1:13" ht="26.2">
      <c r="A3" s="34"/>
      <c r="B3" s="118"/>
      <c r="C3" s="35"/>
      <c r="D3" s="1024"/>
      <c r="E3" s="1024"/>
      <c r="F3" s="1024"/>
      <c r="G3" s="1024"/>
      <c r="H3" s="1024"/>
      <c r="I3" s="1024"/>
      <c r="J3" s="718">
        <f>'Egan Asset Summary'!O3</f>
        <v>0</v>
      </c>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J3</f>
        <v>0</v>
      </c>
      <c r="K15" s="236">
        <f>J3</f>
        <v>0</v>
      </c>
      <c r="L15" s="236">
        <f>J3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9">
    <mergeCell ref="I6:M6"/>
    <mergeCell ref="I37:M37"/>
    <mergeCell ref="I7:M7"/>
    <mergeCell ref="I8:L8"/>
    <mergeCell ref="I9:L9"/>
    <mergeCell ref="I10:L10"/>
    <mergeCell ref="I11:M11"/>
    <mergeCell ref="I12:M12"/>
    <mergeCell ref="I13:L13"/>
    <mergeCell ref="I14:J14"/>
    <mergeCell ref="I19:M19"/>
    <mergeCell ref="I23:M23"/>
    <mergeCell ref="I24:M24"/>
    <mergeCell ref="F1:J1"/>
    <mergeCell ref="I4:M4"/>
    <mergeCell ref="I5:M5"/>
    <mergeCell ref="L1:M1"/>
    <mergeCell ref="L2:M2"/>
    <mergeCell ref="L3:M3"/>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9.9978637043366805E-2"/>
  </sheetPr>
  <dimension ref="A1:N71"/>
  <sheetViews>
    <sheetView showGridLines="0" showRowColHeaders="0" workbookViewId="0">
      <selection activeCell="F1" sqref="F1:J1"/>
      <extLst>
        <ext xmlns:xlsdti="http://schemas.microsoft.com/office/spreadsheetml/2023/showDataTypeIcons" uri="{77bfe23e-c014-4d31-8a63-9c772dbf06b6}">
          <xlsdti:showDataTypeIcons visible="0"/>
        </ext>
      </extLst>
    </sheetView>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714"/>
      <c r="E1" s="715"/>
      <c r="F1" s="1776" t="s">
        <v>1059</v>
      </c>
      <c r="G1" s="1776"/>
      <c r="H1" s="1776"/>
      <c r="I1" s="1776"/>
      <c r="J1" s="1776"/>
      <c r="K1" s="1030" t="s">
        <v>396</v>
      </c>
      <c r="L1" s="1721" t="s">
        <v>397</v>
      </c>
      <c r="M1" s="1721"/>
    </row>
    <row r="2" spans="1:13" ht="24.25">
      <c r="A2" s="296">
        <v>146628</v>
      </c>
      <c r="B2" s="298">
        <v>175000</v>
      </c>
      <c r="C2" s="297">
        <f>'Egan Asset Summary'!M30</f>
        <v>188000</v>
      </c>
      <c r="D2" s="1023"/>
      <c r="E2" s="1023"/>
      <c r="F2" s="1023"/>
      <c r="G2" s="1023"/>
      <c r="H2" s="1023"/>
      <c r="I2" s="1023"/>
      <c r="J2" s="1023"/>
      <c r="K2" s="1031" t="s">
        <v>160</v>
      </c>
      <c r="L2" s="1721" t="s">
        <v>398</v>
      </c>
      <c r="M2" s="1721"/>
    </row>
    <row r="3" spans="1:13" ht="26.2">
      <c r="A3" s="34"/>
      <c r="B3" s="118"/>
      <c r="C3" s="35"/>
      <c r="D3" s="1024"/>
      <c r="E3" s="1024"/>
      <c r="F3" s="1024"/>
      <c r="G3" s="1024"/>
      <c r="H3" s="1024"/>
      <c r="I3" s="1024"/>
      <c r="J3" s="718">
        <f>'Egan Asset Summary'!O3</f>
        <v>0</v>
      </c>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J3</f>
        <v>0</v>
      </c>
      <c r="K15" s="236">
        <f>J3</f>
        <v>0</v>
      </c>
      <c r="L15" s="236">
        <f>J3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9">
    <mergeCell ref="I11:M11"/>
    <mergeCell ref="F1:J1"/>
    <mergeCell ref="L1:M1"/>
    <mergeCell ref="L2:M2"/>
    <mergeCell ref="L3:M3"/>
    <mergeCell ref="I4:M4"/>
    <mergeCell ref="I5:M5"/>
    <mergeCell ref="I6:M6"/>
    <mergeCell ref="I7:M7"/>
    <mergeCell ref="I8:L8"/>
    <mergeCell ref="I9:L9"/>
    <mergeCell ref="I10:L10"/>
    <mergeCell ref="I37:M37"/>
    <mergeCell ref="I12:M12"/>
    <mergeCell ref="I13:L13"/>
    <mergeCell ref="I14:J14"/>
    <mergeCell ref="I19:M19"/>
    <mergeCell ref="I23:M23"/>
    <mergeCell ref="I24:M2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F82B-A524-4064-BAD1-6EF7CC52D476}">
  <sheetPr>
    <tabColor rgb="FFFFC000"/>
  </sheetPr>
  <dimension ref="A1:W61"/>
  <sheetViews>
    <sheetView showGridLines="0" showRowColHeaders="0" topLeftCell="A15" workbookViewId="0">
      <selection activeCell="I23" sqref="I23"/>
      <extLst>
        <ext xmlns:xlsdti="http://schemas.microsoft.com/office/spreadsheetml/2023/showDataTypeIcons" uri="{77bfe23e-c014-4d31-8a63-9c772dbf06b6}">
          <xlsdti:showDataTypeIcons visible="0"/>
        </ext>
      </extLst>
    </sheetView>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75" thickBot="1">
      <c r="A1" s="1781" t="s">
        <v>369</v>
      </c>
      <c r="B1" s="1782"/>
      <c r="C1" s="1782"/>
      <c r="D1" s="1783"/>
      <c r="E1" s="1018" t="s">
        <v>42</v>
      </c>
      <c r="F1" s="1784" t="s">
        <v>370</v>
      </c>
      <c r="G1" s="1785"/>
      <c r="H1" s="1786"/>
      <c r="I1" s="1018" t="s">
        <v>44</v>
      </c>
      <c r="J1" s="1787" t="s">
        <v>371</v>
      </c>
      <c r="K1" s="1785"/>
      <c r="L1" s="1786"/>
      <c r="M1" s="208"/>
    </row>
    <row r="2" spans="1:23" ht="15.75" thickBot="1">
      <c r="A2" s="1069"/>
      <c r="B2" s="588"/>
      <c r="C2" s="588"/>
      <c r="D2" s="588"/>
      <c r="E2" s="1070"/>
      <c r="F2" s="192"/>
      <c r="G2" s="192"/>
      <c r="H2" s="192"/>
      <c r="I2" s="1070"/>
      <c r="J2" s="1071"/>
      <c r="K2" s="1072"/>
      <c r="L2" s="192"/>
      <c r="M2" s="208"/>
    </row>
    <row r="3" spans="1:23" ht="15.75" thickBot="1">
      <c r="B3" s="89"/>
      <c r="C3" s="89"/>
      <c r="E3" s="1012" t="s">
        <v>372</v>
      </c>
      <c r="F3" s="1161"/>
      <c r="G3" s="1168"/>
      <c r="H3" s="1288" t="s">
        <v>373</v>
      </c>
      <c r="I3" s="1168"/>
      <c r="J3" s="1016">
        <f>I3-G3</f>
        <v>0</v>
      </c>
      <c r="K3" s="1033" t="s">
        <v>47</v>
      </c>
      <c r="L3" s="192"/>
      <c r="Q3" s="89"/>
    </row>
    <row r="4" spans="1:23" ht="18.350000000000001" thickBot="1">
      <c r="C4" s="1173">
        <f ca="1">TODAY()</f>
        <v>46198</v>
      </c>
      <c r="E4" s="1159" t="s">
        <v>374</v>
      </c>
      <c r="F4" s="1160">
        <v>18853</v>
      </c>
      <c r="G4" s="1162">
        <v>0</v>
      </c>
      <c r="H4" s="1159">
        <v>74</v>
      </c>
      <c r="I4" s="1162">
        <v>0</v>
      </c>
      <c r="J4" s="971">
        <f>I4-G4</f>
        <v>0</v>
      </c>
      <c r="K4" s="1159" t="s">
        <v>47</v>
      </c>
    </row>
    <row r="5" spans="1:23" ht="20.95" thickBot="1">
      <c r="C5" s="970">
        <v>2020</v>
      </c>
      <c r="D5" s="192"/>
      <c r="E5" s="925"/>
      <c r="F5" s="925"/>
      <c r="G5" s="925"/>
      <c r="H5" s="192"/>
      <c r="I5" s="969"/>
      <c r="J5" s="192">
        <v>7038</v>
      </c>
      <c r="K5" s="192"/>
      <c r="L5" s="969"/>
      <c r="M5" s="371"/>
      <c r="N5" s="192"/>
      <c r="P5" s="89"/>
      <c r="Q5" s="89"/>
      <c r="R5" s="89"/>
      <c r="S5" s="89"/>
      <c r="T5" s="89"/>
      <c r="U5" s="89"/>
      <c r="V5" s="89"/>
      <c r="W5" s="89"/>
    </row>
    <row r="6" spans="1:23" ht="18.350000000000001" thickBot="1">
      <c r="A6" s="1788" t="s">
        <v>375</v>
      </c>
      <c r="B6" s="1789"/>
      <c r="C6" s="1790"/>
      <c r="D6" s="1169">
        <v>0</v>
      </c>
      <c r="E6" s="1791" t="s">
        <v>376</v>
      </c>
      <c r="F6" s="1741"/>
      <c r="G6" s="1015">
        <v>0</v>
      </c>
      <c r="H6" s="968" t="s">
        <v>377</v>
      </c>
      <c r="J6" s="968" t="s">
        <v>377</v>
      </c>
      <c r="K6" s="974"/>
      <c r="N6" s="16"/>
      <c r="O6" s="16"/>
      <c r="P6" s="89"/>
      <c r="Q6" s="89"/>
      <c r="R6" s="89"/>
      <c r="S6" s="89"/>
      <c r="T6" s="89"/>
      <c r="U6" s="89"/>
      <c r="V6" s="89"/>
      <c r="W6" s="89"/>
    </row>
    <row r="7" spans="1:23" ht="18.350000000000001" thickBot="1">
      <c r="A7" s="1777" t="s">
        <v>378</v>
      </c>
      <c r="B7" s="1778"/>
      <c r="C7" s="1779"/>
      <c r="D7" s="1163">
        <v>0</v>
      </c>
      <c r="E7" s="1780" t="s">
        <v>379</v>
      </c>
      <c r="F7" s="1736"/>
      <c r="G7" s="1015">
        <v>85925.88</v>
      </c>
      <c r="H7" s="968" t="s">
        <v>204</v>
      </c>
      <c r="I7" s="1015">
        <f>G6+G7</f>
        <v>85925.88</v>
      </c>
      <c r="J7" s="968" t="s">
        <v>380</v>
      </c>
      <c r="K7" s="972">
        <f>G6+G7</f>
        <v>85925.88</v>
      </c>
      <c r="O7" s="16"/>
      <c r="P7" s="89"/>
      <c r="Q7" s="89"/>
      <c r="R7" s="89"/>
      <c r="S7" s="89"/>
      <c r="T7" s="89"/>
      <c r="U7" s="89"/>
      <c r="V7" s="89"/>
      <c r="W7" s="89"/>
    </row>
    <row r="10" spans="1:23" ht="18.350000000000001" thickBot="1">
      <c r="A10" s="1524" t="s">
        <v>381</v>
      </c>
      <c r="B10" s="1524"/>
      <c r="C10" s="1524"/>
      <c r="D10" s="1524"/>
      <c r="E10" s="1010">
        <v>7160.49</v>
      </c>
      <c r="F10" s="965" t="s">
        <v>382</v>
      </c>
      <c r="G10" s="966">
        <f>E10*12</f>
        <v>85925.88</v>
      </c>
      <c r="H10" s="192"/>
      <c r="I10" s="1318">
        <v>102926.64</v>
      </c>
      <c r="J10" s="1734"/>
      <c r="K10" s="1734"/>
      <c r="L10" s="1734"/>
      <c r="M10" s="1734"/>
      <c r="N10" s="1734"/>
      <c r="O10" s="16"/>
    </row>
    <row r="11" spans="1:23" ht="20.95" thickBot="1">
      <c r="C11" s="970"/>
      <c r="D11" s="192"/>
      <c r="E11" s="925"/>
      <c r="F11" s="925"/>
      <c r="G11" s="925"/>
      <c r="H11" s="192"/>
      <c r="I11" s="969"/>
      <c r="J11" s="192"/>
      <c r="K11" s="192"/>
      <c r="L11" s="969"/>
      <c r="M11" s="371"/>
      <c r="N11" s="192"/>
      <c r="P11" s="89"/>
      <c r="Q11" s="89"/>
      <c r="R11" s="89"/>
      <c r="S11" s="89"/>
      <c r="T11" s="89"/>
      <c r="U11" s="89"/>
      <c r="V11" s="89"/>
      <c r="W11" s="89"/>
    </row>
    <row r="12" spans="1:23" ht="18" customHeight="1" thickBot="1">
      <c r="A12" s="1742" t="s">
        <v>383</v>
      </c>
      <c r="B12" s="1743"/>
      <c r="C12" s="1744"/>
      <c r="D12" s="1170">
        <v>0</v>
      </c>
      <c r="E12" s="1013" t="s">
        <v>12</v>
      </c>
      <c r="F12" s="1013">
        <v>0</v>
      </c>
      <c r="G12" s="1745" t="s">
        <v>54</v>
      </c>
      <c r="H12" s="1746"/>
      <c r="I12" s="1021">
        <f>D12*12</f>
        <v>0</v>
      </c>
      <c r="J12" s="1553" t="s">
        <v>55</v>
      </c>
      <c r="K12" s="1553"/>
      <c r="L12" s="1553"/>
      <c r="M12" s="1553"/>
      <c r="N12" s="1553"/>
      <c r="O12" s="1553"/>
    </row>
    <row r="13" spans="1:23" ht="18.350000000000001" thickBot="1">
      <c r="A13" s="1796">
        <v>0</v>
      </c>
      <c r="B13" s="1757"/>
      <c r="C13" s="1758"/>
      <c r="D13" s="1171">
        <v>0</v>
      </c>
      <c r="E13" s="1164">
        <v>67</v>
      </c>
      <c r="F13" s="1164">
        <v>67</v>
      </c>
      <c r="G13" s="1759" t="s">
        <v>54</v>
      </c>
      <c r="H13" s="1760"/>
      <c r="I13" s="973">
        <f>D13*12</f>
        <v>0</v>
      </c>
      <c r="J13" s="1552" t="s">
        <v>384</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797" t="s">
        <v>1063</v>
      </c>
      <c r="B15" s="1797"/>
      <c r="C15" s="1797"/>
      <c r="D15" s="1797"/>
      <c r="E15" s="1797"/>
      <c r="F15" s="1797"/>
      <c r="G15" s="1797"/>
      <c r="H15" s="1797"/>
      <c r="I15" s="1797"/>
      <c r="J15" s="1797"/>
      <c r="K15" s="1797"/>
      <c r="L15" s="1797"/>
      <c r="M15" s="1797"/>
      <c r="N15" s="1797"/>
      <c r="O15" s="1798"/>
      <c r="P15" s="89"/>
      <c r="Q15" s="89"/>
      <c r="R15" s="89"/>
      <c r="S15" s="89"/>
      <c r="T15" s="89"/>
      <c r="U15" s="89"/>
      <c r="V15" s="89"/>
      <c r="W15" s="89"/>
    </row>
    <row r="16" spans="1:23" ht="24.25" thickBot="1">
      <c r="A16" s="1543" t="s">
        <v>57</v>
      </c>
      <c r="B16" s="1544"/>
      <c r="C16" s="1544"/>
      <c r="D16" s="1544"/>
      <c r="E16" s="1544"/>
      <c r="F16" s="1544"/>
      <c r="G16" s="1544"/>
      <c r="H16" s="1544"/>
      <c r="I16" s="1544"/>
      <c r="J16" s="1544"/>
      <c r="K16" s="1544"/>
      <c r="L16" s="1544"/>
      <c r="M16" s="1544"/>
      <c r="N16" s="1544"/>
      <c r="O16" s="1545"/>
    </row>
    <row r="17" spans="1:23" s="37" customFormat="1" ht="83.15" thickBot="1">
      <c r="A17" s="1110"/>
      <c r="B17" s="1110"/>
      <c r="C17" s="1110"/>
      <c r="D17" s="1352"/>
      <c r="E17" s="36"/>
      <c r="F17" s="36"/>
      <c r="G17" s="36" t="s">
        <v>386</v>
      </c>
      <c r="H17" s="36" t="s">
        <v>387</v>
      </c>
      <c r="I17" s="1349" t="s">
        <v>410</v>
      </c>
      <c r="J17" s="36" t="s">
        <v>53</v>
      </c>
      <c r="K17" s="36"/>
      <c r="L17" s="36"/>
      <c r="M17" s="1067" t="s">
        <v>65</v>
      </c>
      <c r="N17" s="1014" t="s">
        <v>388</v>
      </c>
      <c r="O17" s="1068" t="s">
        <v>67</v>
      </c>
      <c r="P17" s="213"/>
      <c r="Q17" s="213"/>
      <c r="R17" s="213"/>
      <c r="S17" s="213"/>
      <c r="T17" s="213"/>
      <c r="U17" s="213"/>
      <c r="V17" s="213"/>
      <c r="W17" s="213"/>
    </row>
    <row r="18" spans="1:23" ht="13.75" hidden="1" thickBot="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ht="13.75" thickBot="1">
      <c r="A19" s="1540"/>
      <c r="B19" s="1540"/>
      <c r="C19" s="1540"/>
      <c r="D19" s="1005"/>
      <c r="E19" s="1006"/>
      <c r="F19" s="1285"/>
      <c r="G19" s="1006"/>
      <c r="H19" s="1154"/>
      <c r="I19" s="1154"/>
      <c r="J19" s="1154"/>
      <c r="K19" s="1154"/>
      <c r="L19" s="1154"/>
      <c r="M19" s="992"/>
      <c r="N19" s="992"/>
      <c r="O19" s="993"/>
    </row>
    <row r="20" spans="1:23" ht="13.75" thickBot="1">
      <c r="A20" s="1747" t="s">
        <v>389</v>
      </c>
      <c r="B20" s="1747"/>
      <c r="C20" s="1748"/>
      <c r="D20" s="976">
        <f>F12</f>
        <v>0</v>
      </c>
      <c r="E20" s="976"/>
      <c r="F20" s="976"/>
      <c r="G20" s="976"/>
      <c r="H20" s="1155"/>
      <c r="I20" s="1350">
        <v>179000</v>
      </c>
      <c r="J20" s="1105"/>
      <c r="K20" s="1105"/>
      <c r="L20" s="1105"/>
      <c r="M20" s="990"/>
      <c r="N20" s="989"/>
      <c r="O20" s="994"/>
    </row>
    <row r="21" spans="1:23" ht="16.05" customHeight="1">
      <c r="A21" s="1749" t="s">
        <v>26</v>
      </c>
      <c r="B21" s="1792" t="s">
        <v>390</v>
      </c>
      <c r="C21" s="1753" t="s">
        <v>59</v>
      </c>
      <c r="D21" s="975">
        <f>I12</f>
        <v>0</v>
      </c>
      <c r="E21" s="975"/>
      <c r="F21" s="975"/>
      <c r="G21" s="975"/>
      <c r="H21" s="975"/>
      <c r="I21" s="975"/>
      <c r="J21" s="975"/>
      <c r="K21" s="975"/>
      <c r="L21" s="975"/>
      <c r="M21" s="990"/>
      <c r="N21" s="989"/>
      <c r="O21" s="994"/>
    </row>
    <row r="22" spans="1:23" ht="16.05" customHeight="1">
      <c r="A22" s="1750"/>
      <c r="B22" s="1793"/>
      <c r="C22" s="1754"/>
      <c r="D22" s="1794"/>
      <c r="E22" s="1794"/>
      <c r="F22" s="1794"/>
      <c r="G22" s="1794"/>
      <c r="H22" s="1794"/>
      <c r="I22" s="1794"/>
      <c r="J22" s="1794"/>
      <c r="K22" s="1794"/>
      <c r="L22" s="1795"/>
      <c r="M22" s="991"/>
      <c r="N22" s="208"/>
      <c r="O22" s="995"/>
    </row>
    <row r="23" spans="1:23" ht="15.05">
      <c r="A23" s="979" t="s">
        <v>1061</v>
      </c>
      <c r="B23" s="604">
        <v>74</v>
      </c>
      <c r="C23" s="148">
        <v>0</v>
      </c>
      <c r="D23" s="982">
        <v>0</v>
      </c>
      <c r="E23" s="982">
        <v>0</v>
      </c>
      <c r="F23" s="982">
        <v>0</v>
      </c>
      <c r="G23" s="1111">
        <v>32040.84</v>
      </c>
      <c r="H23" s="982">
        <v>53885.04</v>
      </c>
      <c r="I23" s="982">
        <v>16002</v>
      </c>
      <c r="J23" s="1351">
        <v>12888</v>
      </c>
      <c r="K23" s="982">
        <v>0</v>
      </c>
      <c r="L23" s="982">
        <v>0</v>
      </c>
      <c r="M23" s="980">
        <f>D23+E23+F23+G23+H23+I23+J23+K23+L23</f>
        <v>114815.88</v>
      </c>
      <c r="N23" s="1198">
        <f>I10</f>
        <v>102926.64</v>
      </c>
      <c r="O23" s="1157">
        <f>M23-N24</f>
        <v>11889.240000000005</v>
      </c>
    </row>
    <row r="24" spans="1:23" ht="15.05">
      <c r="A24" s="119">
        <f t="shared" ref="A24:C39" si="0">A23+1</f>
        <v>2027</v>
      </c>
      <c r="B24" s="602">
        <f t="shared" si="0"/>
        <v>75</v>
      </c>
      <c r="C24" s="603">
        <f t="shared" si="0"/>
        <v>1</v>
      </c>
      <c r="D24" s="982">
        <v>0</v>
      </c>
      <c r="E24" s="982">
        <v>0</v>
      </c>
      <c r="F24" s="982">
        <v>0</v>
      </c>
      <c r="G24" s="1111">
        <v>32040.84</v>
      </c>
      <c r="H24" s="982">
        <v>53885.04</v>
      </c>
      <c r="I24" s="982">
        <v>16002</v>
      </c>
      <c r="J24" s="1351">
        <v>12888</v>
      </c>
      <c r="K24" s="982">
        <v>0</v>
      </c>
      <c r="L24" s="982">
        <v>0</v>
      </c>
      <c r="M24" s="980">
        <f t="shared" ref="M24:M40" si="1">D24+E24+F24+G24+H24+I24+J24+K24+L24</f>
        <v>114815.88</v>
      </c>
      <c r="N24" s="967">
        <f>I10</f>
        <v>102926.64</v>
      </c>
      <c r="O24" s="1157">
        <f t="shared" ref="O24:O41" si="2">M24-N25</f>
        <v>11889.240000000005</v>
      </c>
    </row>
    <row r="25" spans="1:23" ht="15.05">
      <c r="A25" s="155">
        <f t="shared" si="0"/>
        <v>2028</v>
      </c>
      <c r="B25" s="1287">
        <f t="shared" si="0"/>
        <v>76</v>
      </c>
      <c r="C25" s="148">
        <f t="shared" si="0"/>
        <v>2</v>
      </c>
      <c r="D25" s="982">
        <v>0</v>
      </c>
      <c r="E25" s="982">
        <v>0</v>
      </c>
      <c r="F25" s="982">
        <v>0</v>
      </c>
      <c r="G25" s="1111">
        <v>32040.84</v>
      </c>
      <c r="H25" s="982">
        <v>53885.04</v>
      </c>
      <c r="I25" s="982">
        <v>16002</v>
      </c>
      <c r="J25" s="1351">
        <v>12888</v>
      </c>
      <c r="K25" s="982">
        <v>0</v>
      </c>
      <c r="L25" s="982">
        <v>0</v>
      </c>
      <c r="M25" s="980">
        <f t="shared" si="1"/>
        <v>114815.88</v>
      </c>
      <c r="N25" s="967">
        <f>I10</f>
        <v>102926.64</v>
      </c>
      <c r="O25" s="1157">
        <f t="shared" si="2"/>
        <v>11889.240000000005</v>
      </c>
    </row>
    <row r="26" spans="1:23" ht="15.05">
      <c r="A26" s="119">
        <f t="shared" si="0"/>
        <v>2029</v>
      </c>
      <c r="B26" s="706">
        <f t="shared" si="0"/>
        <v>77</v>
      </c>
      <c r="C26" s="706">
        <f t="shared" si="0"/>
        <v>3</v>
      </c>
      <c r="D26" s="982">
        <v>0</v>
      </c>
      <c r="E26" s="982">
        <v>0</v>
      </c>
      <c r="F26" s="982">
        <v>0</v>
      </c>
      <c r="G26" s="1111">
        <v>32040.84</v>
      </c>
      <c r="H26" s="982">
        <v>53885.04</v>
      </c>
      <c r="I26" s="982">
        <v>16002</v>
      </c>
      <c r="J26" s="1351">
        <v>12888</v>
      </c>
      <c r="K26" s="982">
        <v>0</v>
      </c>
      <c r="L26" s="982">
        <v>0</v>
      </c>
      <c r="M26" s="980">
        <f t="shared" si="1"/>
        <v>114815.88</v>
      </c>
      <c r="N26" s="967">
        <f>I10</f>
        <v>102926.64</v>
      </c>
      <c r="O26" s="1157">
        <f t="shared" si="2"/>
        <v>11889.240000000005</v>
      </c>
    </row>
    <row r="27" spans="1:23" ht="15.05">
      <c r="A27" s="119">
        <f t="shared" si="0"/>
        <v>2030</v>
      </c>
      <c r="B27" s="148">
        <f t="shared" si="0"/>
        <v>78</v>
      </c>
      <c r="C27" s="148">
        <f t="shared" si="0"/>
        <v>4</v>
      </c>
      <c r="D27" s="982">
        <v>0</v>
      </c>
      <c r="E27" s="982">
        <v>0</v>
      </c>
      <c r="F27" s="982">
        <v>0</v>
      </c>
      <c r="G27" s="1111">
        <v>32040.84</v>
      </c>
      <c r="H27" s="982">
        <v>53885.04</v>
      </c>
      <c r="I27" s="982">
        <v>16002</v>
      </c>
      <c r="J27" s="1351">
        <v>12888</v>
      </c>
      <c r="K27" s="982">
        <v>0</v>
      </c>
      <c r="L27" s="982">
        <v>0</v>
      </c>
      <c r="M27" s="980">
        <f t="shared" si="1"/>
        <v>114815.88</v>
      </c>
      <c r="N27" s="967">
        <f>I10</f>
        <v>102926.64</v>
      </c>
      <c r="O27" s="1157">
        <f t="shared" si="2"/>
        <v>11889.240000000005</v>
      </c>
    </row>
    <row r="28" spans="1:23" ht="15.05">
      <c r="A28" s="119">
        <f t="shared" si="0"/>
        <v>2031</v>
      </c>
      <c r="B28" s="602">
        <f t="shared" si="0"/>
        <v>79</v>
      </c>
      <c r="C28" s="602">
        <f t="shared" si="0"/>
        <v>5</v>
      </c>
      <c r="D28" s="982">
        <v>0</v>
      </c>
      <c r="E28" s="982">
        <v>0</v>
      </c>
      <c r="F28" s="982">
        <v>0</v>
      </c>
      <c r="G28" s="1111">
        <v>32040.84</v>
      </c>
      <c r="H28" s="982">
        <v>53885.04</v>
      </c>
      <c r="I28" s="982">
        <v>16002</v>
      </c>
      <c r="J28" s="1351">
        <v>12888</v>
      </c>
      <c r="K28" s="982">
        <v>0</v>
      </c>
      <c r="L28" s="982">
        <v>0</v>
      </c>
      <c r="M28" s="980">
        <f t="shared" si="1"/>
        <v>114815.88</v>
      </c>
      <c r="N28" s="967">
        <f>I10</f>
        <v>102926.64</v>
      </c>
      <c r="O28" s="1157">
        <f t="shared" si="2"/>
        <v>11889.240000000005</v>
      </c>
    </row>
    <row r="29" spans="1:23" ht="15.05">
      <c r="A29" s="155">
        <f t="shared" si="0"/>
        <v>2032</v>
      </c>
      <c r="B29" s="148">
        <f t="shared" si="0"/>
        <v>80</v>
      </c>
      <c r="C29" s="148">
        <f t="shared" si="0"/>
        <v>6</v>
      </c>
      <c r="D29" s="982">
        <v>0</v>
      </c>
      <c r="E29" s="982">
        <v>0</v>
      </c>
      <c r="F29" s="982">
        <v>0</v>
      </c>
      <c r="G29" s="1111">
        <v>32040.84</v>
      </c>
      <c r="H29" s="982">
        <v>53885.04</v>
      </c>
      <c r="I29" s="982">
        <v>16002</v>
      </c>
      <c r="J29" s="1351">
        <v>12888</v>
      </c>
      <c r="K29" s="982">
        <v>0</v>
      </c>
      <c r="L29" s="982">
        <v>0</v>
      </c>
      <c r="M29" s="980">
        <f t="shared" si="1"/>
        <v>114815.88</v>
      </c>
      <c r="N29" s="967">
        <f>I10</f>
        <v>102926.64</v>
      </c>
      <c r="O29" s="1157">
        <f t="shared" si="2"/>
        <v>11889.240000000005</v>
      </c>
    </row>
    <row r="30" spans="1:23" ht="15.05">
      <c r="A30" s="119">
        <f t="shared" si="0"/>
        <v>2033</v>
      </c>
      <c r="B30" s="706">
        <f t="shared" si="0"/>
        <v>81</v>
      </c>
      <c r="C30" s="706">
        <f t="shared" si="0"/>
        <v>7</v>
      </c>
      <c r="D30" s="982">
        <v>0</v>
      </c>
      <c r="E30" s="982">
        <v>0</v>
      </c>
      <c r="F30" s="982">
        <v>0</v>
      </c>
      <c r="G30" s="1111">
        <v>32040.84</v>
      </c>
      <c r="H30" s="982">
        <v>53885.04</v>
      </c>
      <c r="I30" s="982">
        <v>16002</v>
      </c>
      <c r="J30" s="1351">
        <v>12888</v>
      </c>
      <c r="K30" s="982">
        <v>0</v>
      </c>
      <c r="L30" s="982">
        <v>0</v>
      </c>
      <c r="M30" s="980">
        <f t="shared" si="1"/>
        <v>114815.88</v>
      </c>
      <c r="N30" s="967">
        <f>I10</f>
        <v>102926.64</v>
      </c>
      <c r="O30" s="1157">
        <f t="shared" si="2"/>
        <v>11889.240000000005</v>
      </c>
    </row>
    <row r="31" spans="1:23" ht="15.05">
      <c r="A31" s="119">
        <f t="shared" si="0"/>
        <v>2034</v>
      </c>
      <c r="B31" s="148">
        <f t="shared" si="0"/>
        <v>82</v>
      </c>
      <c r="C31" s="148">
        <f t="shared" si="0"/>
        <v>8</v>
      </c>
      <c r="D31" s="982">
        <v>0</v>
      </c>
      <c r="E31" s="982">
        <v>0</v>
      </c>
      <c r="F31" s="982">
        <v>0</v>
      </c>
      <c r="G31" s="1111">
        <v>32040.84</v>
      </c>
      <c r="H31" s="982">
        <v>53885.04</v>
      </c>
      <c r="I31" s="982">
        <v>16002</v>
      </c>
      <c r="J31" s="1351">
        <v>12888</v>
      </c>
      <c r="K31" s="982">
        <v>0</v>
      </c>
      <c r="L31" s="982">
        <v>0</v>
      </c>
      <c r="M31" s="980">
        <f t="shared" si="1"/>
        <v>114815.88</v>
      </c>
      <c r="N31" s="967">
        <f>I10</f>
        <v>102926.64</v>
      </c>
      <c r="O31" s="1157">
        <f t="shared" si="2"/>
        <v>11889.240000000005</v>
      </c>
    </row>
    <row r="32" spans="1:23" ht="15.05">
      <c r="A32" s="119">
        <f t="shared" si="0"/>
        <v>2035</v>
      </c>
      <c r="B32" s="148">
        <f t="shared" si="0"/>
        <v>83</v>
      </c>
      <c r="C32" s="148">
        <f t="shared" si="0"/>
        <v>9</v>
      </c>
      <c r="D32" s="982">
        <v>0</v>
      </c>
      <c r="E32" s="982">
        <v>0</v>
      </c>
      <c r="F32" s="982">
        <v>0</v>
      </c>
      <c r="G32" s="1111">
        <v>32040.84</v>
      </c>
      <c r="H32" s="982">
        <v>53885.04</v>
      </c>
      <c r="I32" s="982">
        <v>16002</v>
      </c>
      <c r="J32" s="1351">
        <v>12888</v>
      </c>
      <c r="K32" s="982">
        <v>0</v>
      </c>
      <c r="L32" s="982">
        <v>0</v>
      </c>
      <c r="M32" s="980">
        <f t="shared" si="1"/>
        <v>114815.88</v>
      </c>
      <c r="N32" s="967">
        <f>I10</f>
        <v>102926.64</v>
      </c>
      <c r="O32" s="1157">
        <f t="shared" si="2"/>
        <v>11889.240000000005</v>
      </c>
    </row>
    <row r="33" spans="1:15" ht="15.05">
      <c r="A33" s="119">
        <f t="shared" si="0"/>
        <v>2036</v>
      </c>
      <c r="B33" s="148">
        <f t="shared" si="0"/>
        <v>84</v>
      </c>
      <c r="C33" s="148">
        <f t="shared" si="0"/>
        <v>10</v>
      </c>
      <c r="D33" s="982">
        <v>0</v>
      </c>
      <c r="E33" s="982">
        <v>0</v>
      </c>
      <c r="F33" s="982">
        <v>0</v>
      </c>
      <c r="G33" s="1111">
        <v>32040.84</v>
      </c>
      <c r="H33" s="982">
        <v>53885.04</v>
      </c>
      <c r="I33" s="982">
        <v>16002</v>
      </c>
      <c r="J33" s="1351">
        <v>12888</v>
      </c>
      <c r="K33" s="982">
        <v>0</v>
      </c>
      <c r="L33" s="982">
        <v>0</v>
      </c>
      <c r="M33" s="980">
        <f t="shared" si="1"/>
        <v>114815.88</v>
      </c>
      <c r="N33" s="967">
        <f>I10</f>
        <v>102926.64</v>
      </c>
      <c r="O33" s="1157">
        <f t="shared" si="2"/>
        <v>11889.240000000005</v>
      </c>
    </row>
    <row r="34" spans="1:15" ht="15.05">
      <c r="A34" s="119">
        <f t="shared" si="0"/>
        <v>2037</v>
      </c>
      <c r="B34" s="148">
        <f t="shared" si="0"/>
        <v>85</v>
      </c>
      <c r="C34" s="148">
        <f t="shared" si="0"/>
        <v>11</v>
      </c>
      <c r="D34" s="982">
        <v>0</v>
      </c>
      <c r="E34" s="982">
        <v>0</v>
      </c>
      <c r="F34" s="982">
        <v>0</v>
      </c>
      <c r="G34" s="1111">
        <v>32040.84</v>
      </c>
      <c r="H34" s="982">
        <v>53885.04</v>
      </c>
      <c r="I34" s="982">
        <v>16002</v>
      </c>
      <c r="J34" s="1351">
        <v>12888</v>
      </c>
      <c r="K34" s="982">
        <v>0</v>
      </c>
      <c r="L34" s="982">
        <v>0</v>
      </c>
      <c r="M34" s="980">
        <f t="shared" si="1"/>
        <v>114815.88</v>
      </c>
      <c r="N34" s="967">
        <f>I10</f>
        <v>102926.64</v>
      </c>
      <c r="O34" s="1157">
        <f t="shared" si="2"/>
        <v>11889.240000000005</v>
      </c>
    </row>
    <row r="35" spans="1:15" ht="15.05">
      <c r="A35" s="119">
        <f t="shared" si="0"/>
        <v>2038</v>
      </c>
      <c r="B35" s="148">
        <f t="shared" si="0"/>
        <v>86</v>
      </c>
      <c r="C35" s="148">
        <f t="shared" si="0"/>
        <v>12</v>
      </c>
      <c r="D35" s="982">
        <v>0</v>
      </c>
      <c r="E35" s="982">
        <v>0</v>
      </c>
      <c r="F35" s="982">
        <v>0</v>
      </c>
      <c r="G35" s="1111">
        <v>32040.84</v>
      </c>
      <c r="H35" s="982">
        <v>53885.04</v>
      </c>
      <c r="I35" s="982">
        <v>16002</v>
      </c>
      <c r="J35" s="1351">
        <v>12888</v>
      </c>
      <c r="K35" s="982">
        <v>0</v>
      </c>
      <c r="L35" s="982">
        <v>0</v>
      </c>
      <c r="M35" s="980">
        <f t="shared" si="1"/>
        <v>114815.88</v>
      </c>
      <c r="N35" s="967">
        <f>I10</f>
        <v>102926.64</v>
      </c>
      <c r="O35" s="1157">
        <f t="shared" si="2"/>
        <v>11889.240000000005</v>
      </c>
    </row>
    <row r="36" spans="1:15" ht="15.05">
      <c r="A36" s="119">
        <f t="shared" si="0"/>
        <v>2039</v>
      </c>
      <c r="B36" s="148">
        <f t="shared" si="0"/>
        <v>87</v>
      </c>
      <c r="C36" s="148">
        <f t="shared" si="0"/>
        <v>13</v>
      </c>
      <c r="D36" s="982">
        <v>0</v>
      </c>
      <c r="E36" s="982">
        <v>0</v>
      </c>
      <c r="F36" s="982">
        <v>0</v>
      </c>
      <c r="G36" s="1111">
        <v>32040.84</v>
      </c>
      <c r="H36" s="982">
        <v>53885.04</v>
      </c>
      <c r="I36" s="982">
        <v>16002</v>
      </c>
      <c r="J36" s="1351">
        <v>12888</v>
      </c>
      <c r="K36" s="982">
        <v>0</v>
      </c>
      <c r="L36" s="982">
        <v>0</v>
      </c>
      <c r="M36" s="980">
        <f t="shared" si="1"/>
        <v>114815.88</v>
      </c>
      <c r="N36" s="967">
        <f>I10</f>
        <v>102926.64</v>
      </c>
      <c r="O36" s="1157">
        <f t="shared" si="2"/>
        <v>11889.240000000005</v>
      </c>
    </row>
    <row r="37" spans="1:15" ht="15.05">
      <c r="A37" s="119">
        <f t="shared" si="0"/>
        <v>2040</v>
      </c>
      <c r="B37" s="148">
        <f t="shared" si="0"/>
        <v>88</v>
      </c>
      <c r="C37" s="148">
        <f t="shared" si="0"/>
        <v>14</v>
      </c>
      <c r="D37" s="982">
        <v>0</v>
      </c>
      <c r="E37" s="982">
        <v>0</v>
      </c>
      <c r="F37" s="982">
        <v>0</v>
      </c>
      <c r="G37" s="1111">
        <v>32040.84</v>
      </c>
      <c r="H37" s="982">
        <v>53885.04</v>
      </c>
      <c r="I37" s="982">
        <v>16002</v>
      </c>
      <c r="J37" s="1351">
        <v>12888</v>
      </c>
      <c r="K37" s="982">
        <v>0</v>
      </c>
      <c r="L37" s="982">
        <v>0</v>
      </c>
      <c r="M37" s="980">
        <f t="shared" si="1"/>
        <v>114815.88</v>
      </c>
      <c r="N37" s="967">
        <f>I10</f>
        <v>102926.64</v>
      </c>
      <c r="O37" s="1157">
        <f t="shared" si="2"/>
        <v>11889.240000000005</v>
      </c>
    </row>
    <row r="38" spans="1:15" ht="15.05">
      <c r="A38" s="155">
        <f t="shared" si="0"/>
        <v>2041</v>
      </c>
      <c r="B38" s="148">
        <f t="shared" si="0"/>
        <v>89</v>
      </c>
      <c r="C38" s="1165">
        <f t="shared" si="0"/>
        <v>15</v>
      </c>
      <c r="D38" s="982">
        <v>0</v>
      </c>
      <c r="E38" s="982">
        <v>0</v>
      </c>
      <c r="F38" s="982">
        <v>0</v>
      </c>
      <c r="G38" s="1111">
        <v>32040.84</v>
      </c>
      <c r="H38" s="982">
        <v>53885.04</v>
      </c>
      <c r="I38" s="982">
        <v>16002</v>
      </c>
      <c r="J38" s="1351">
        <v>12888</v>
      </c>
      <c r="K38" s="982">
        <v>0</v>
      </c>
      <c r="L38" s="982">
        <v>0</v>
      </c>
      <c r="M38" s="980">
        <f t="shared" si="1"/>
        <v>114815.88</v>
      </c>
      <c r="N38" s="967">
        <f>I10</f>
        <v>102926.64</v>
      </c>
      <c r="O38" s="1157">
        <f t="shared" si="2"/>
        <v>11889.240000000005</v>
      </c>
    </row>
    <row r="39" spans="1:15" ht="15.05">
      <c r="A39" s="119">
        <f t="shared" si="0"/>
        <v>2042</v>
      </c>
      <c r="B39" s="706">
        <f t="shared" si="0"/>
        <v>90</v>
      </c>
      <c r="C39" s="148">
        <f t="shared" si="0"/>
        <v>16</v>
      </c>
      <c r="D39" s="982">
        <v>0</v>
      </c>
      <c r="E39" s="982">
        <v>0</v>
      </c>
      <c r="F39" s="982">
        <v>0</v>
      </c>
      <c r="G39" s="1111">
        <v>32040.84</v>
      </c>
      <c r="H39" s="982">
        <v>53885.04</v>
      </c>
      <c r="I39" s="982">
        <v>16002</v>
      </c>
      <c r="J39" s="1351">
        <v>12888</v>
      </c>
      <c r="K39" s="982">
        <v>0</v>
      </c>
      <c r="L39" s="982">
        <v>0</v>
      </c>
      <c r="M39" s="980">
        <f t="shared" si="1"/>
        <v>114815.88</v>
      </c>
      <c r="N39" s="967">
        <f>I10</f>
        <v>102926.64</v>
      </c>
      <c r="O39" s="1157">
        <f t="shared" si="2"/>
        <v>11889.240000000005</v>
      </c>
    </row>
    <row r="40" spans="1:15" ht="15.05">
      <c r="A40" s="119">
        <f t="shared" ref="A40:C51" si="3">A39+1</f>
        <v>2043</v>
      </c>
      <c r="B40" s="148">
        <f t="shared" si="3"/>
        <v>91</v>
      </c>
      <c r="C40" s="148">
        <f t="shared" si="3"/>
        <v>17</v>
      </c>
      <c r="D40" s="982">
        <v>0</v>
      </c>
      <c r="E40" s="982">
        <v>0</v>
      </c>
      <c r="F40" s="982">
        <v>0</v>
      </c>
      <c r="G40" s="1111">
        <v>32040.84</v>
      </c>
      <c r="H40" s="982">
        <v>53885.04</v>
      </c>
      <c r="I40" s="982">
        <v>16002</v>
      </c>
      <c r="J40" s="1351">
        <v>12888</v>
      </c>
      <c r="K40" s="982">
        <v>0</v>
      </c>
      <c r="L40" s="982">
        <v>0</v>
      </c>
      <c r="M40" s="980">
        <f t="shared" si="1"/>
        <v>114815.88</v>
      </c>
      <c r="N40" s="967">
        <f>I10</f>
        <v>102926.64</v>
      </c>
      <c r="O40" s="1157">
        <f t="shared" si="2"/>
        <v>11889.240000000005</v>
      </c>
    </row>
    <row r="41" spans="1:15" ht="15.05">
      <c r="A41" s="119">
        <f>A40+1</f>
        <v>2044</v>
      </c>
      <c r="B41" s="148">
        <f>B40+1</f>
        <v>92</v>
      </c>
      <c r="C41" s="148">
        <f>C40+1</f>
        <v>18</v>
      </c>
      <c r="D41" s="982">
        <v>0</v>
      </c>
      <c r="E41" s="982">
        <v>0</v>
      </c>
      <c r="F41" s="982">
        <v>0</v>
      </c>
      <c r="G41" s="1111">
        <v>32040.84</v>
      </c>
      <c r="H41" s="982">
        <v>53885.04</v>
      </c>
      <c r="I41" s="982">
        <v>16002</v>
      </c>
      <c r="J41" s="1351">
        <v>12888</v>
      </c>
      <c r="K41" s="982">
        <v>0</v>
      </c>
      <c r="L41" s="982">
        <v>0</v>
      </c>
      <c r="M41" s="981">
        <f t="shared" ref="M41:M56" si="4">SUM(D41+E41+F41+G41+H41+I41+J41+L41)</f>
        <v>114815.88</v>
      </c>
      <c r="N41" s="967">
        <f>I10</f>
        <v>102926.64</v>
      </c>
      <c r="O41" s="1157">
        <f t="shared" si="2"/>
        <v>11889.240000000005</v>
      </c>
    </row>
    <row r="42" spans="1:15" ht="15.05">
      <c r="A42" s="119">
        <f t="shared" si="3"/>
        <v>2045</v>
      </c>
      <c r="B42" s="148">
        <f t="shared" si="3"/>
        <v>93</v>
      </c>
      <c r="C42" s="148">
        <f t="shared" si="3"/>
        <v>19</v>
      </c>
      <c r="D42" s="982">
        <v>0</v>
      </c>
      <c r="E42" s="982">
        <v>0</v>
      </c>
      <c r="F42" s="982">
        <v>0</v>
      </c>
      <c r="G42" s="1111">
        <v>32040.84</v>
      </c>
      <c r="H42" s="982">
        <v>53885.04</v>
      </c>
      <c r="I42" s="982">
        <v>16002</v>
      </c>
      <c r="J42" s="1351">
        <v>12888</v>
      </c>
      <c r="K42" s="982">
        <v>0</v>
      </c>
      <c r="L42" s="982">
        <v>0</v>
      </c>
      <c r="M42" s="982">
        <f t="shared" si="4"/>
        <v>114815.88</v>
      </c>
      <c r="N42" s="967">
        <f>I10</f>
        <v>102926.64</v>
      </c>
      <c r="O42" s="1289">
        <f>M43-N43</f>
        <v>11889.240000000005</v>
      </c>
    </row>
    <row r="43" spans="1:15" ht="15.05">
      <c r="A43" s="119">
        <f t="shared" si="3"/>
        <v>2046</v>
      </c>
      <c r="B43" s="148">
        <f t="shared" si="3"/>
        <v>94</v>
      </c>
      <c r="C43" s="148">
        <f t="shared" si="3"/>
        <v>20</v>
      </c>
      <c r="D43" s="982">
        <v>0</v>
      </c>
      <c r="E43" s="982">
        <v>0</v>
      </c>
      <c r="F43" s="982">
        <v>0</v>
      </c>
      <c r="G43" s="1111">
        <v>32040.84</v>
      </c>
      <c r="H43" s="982">
        <v>53885.04</v>
      </c>
      <c r="I43" s="982">
        <v>16002</v>
      </c>
      <c r="J43" s="1351">
        <v>12888</v>
      </c>
      <c r="K43" s="982">
        <v>0</v>
      </c>
      <c r="L43" s="982">
        <v>0</v>
      </c>
      <c r="M43" s="980">
        <f t="shared" si="4"/>
        <v>114815.88</v>
      </c>
      <c r="N43" s="967">
        <f>I10</f>
        <v>102926.64</v>
      </c>
      <c r="O43" s="1289">
        <f>M43-N43</f>
        <v>11889.240000000005</v>
      </c>
    </row>
    <row r="44" spans="1:15" s="211" customFormat="1" ht="12.45">
      <c r="A44" s="1762"/>
      <c r="B44" s="1763"/>
      <c r="C44" s="1763"/>
      <c r="D44" s="1763"/>
      <c r="E44" s="1763"/>
      <c r="F44" s="1763"/>
      <c r="G44" s="1763"/>
      <c r="H44" s="1763"/>
      <c r="I44" s="1763"/>
      <c r="J44" s="1763"/>
      <c r="K44" s="1763"/>
      <c r="L44" s="1763"/>
      <c r="M44" s="1763"/>
      <c r="N44" s="1763"/>
      <c r="O44" s="1764"/>
    </row>
    <row r="45" spans="1:15" s="211" customFormat="1" ht="23.6">
      <c r="A45" s="1765" t="s">
        <v>391</v>
      </c>
      <c r="B45" s="1766"/>
      <c r="C45" s="1766"/>
      <c r="D45" s="1766"/>
      <c r="E45" s="1766"/>
      <c r="F45" s="1766"/>
      <c r="G45" s="1766"/>
      <c r="H45" s="1766"/>
      <c r="I45" s="1766"/>
      <c r="J45" s="1766"/>
      <c r="K45" s="1766"/>
      <c r="L45" s="1766"/>
      <c r="M45" s="1766"/>
      <c r="N45" s="1766"/>
      <c r="O45" s="1766"/>
    </row>
    <row r="46" spans="1:15" s="211" customFormat="1" ht="15.05" thickBot="1">
      <c r="A46" s="1283"/>
      <c r="B46" s="1282"/>
      <c r="C46" s="1282"/>
      <c r="D46" s="1047"/>
      <c r="E46" s="1047"/>
      <c r="F46" s="1047"/>
      <c r="G46" s="1047"/>
      <c r="H46" s="1047"/>
      <c r="I46" s="1047"/>
      <c r="J46" s="1047"/>
      <c r="K46" s="1047"/>
      <c r="L46" s="1047"/>
      <c r="M46" s="1047"/>
      <c r="N46" s="1048"/>
      <c r="O46" s="1049"/>
    </row>
    <row r="47" spans="1:15" s="211" customFormat="1" ht="19" thickBot="1">
      <c r="A47" s="1799" t="s">
        <v>392</v>
      </c>
      <c r="B47" s="1800"/>
      <c r="C47" s="1801"/>
      <c r="D47" s="1801"/>
      <c r="E47" s="1801"/>
      <c r="F47" s="1801"/>
      <c r="G47" s="1801"/>
      <c r="H47" s="1801"/>
      <c r="I47" s="1801"/>
      <c r="J47" s="1801"/>
      <c r="K47" s="1801"/>
      <c r="L47" s="1801"/>
      <c r="M47" s="1801"/>
      <c r="N47" s="1801"/>
      <c r="O47" s="1802"/>
    </row>
    <row r="48" spans="1:15" ht="14.4">
      <c r="A48" s="1055" t="e">
        <f>#REF!+1</f>
        <v>#REF!</v>
      </c>
      <c r="B48" s="1199" t="e">
        <f>#REF!+1</f>
        <v>#REF!</v>
      </c>
      <c r="C48" s="1166" t="e">
        <f>#REF!+1</f>
        <v>#REF!</v>
      </c>
      <c r="D48" s="982">
        <v>0</v>
      </c>
      <c r="E48" s="982">
        <v>0</v>
      </c>
      <c r="F48" s="982">
        <v>0</v>
      </c>
      <c r="G48" s="982">
        <v>0</v>
      </c>
      <c r="H48" s="982">
        <v>0</v>
      </c>
      <c r="I48" s="982">
        <v>0</v>
      </c>
      <c r="J48" s="982">
        <v>0</v>
      </c>
      <c r="K48" s="982">
        <v>0</v>
      </c>
      <c r="L48" s="982">
        <v>0</v>
      </c>
      <c r="M48" s="982">
        <f>SUM(D48+E49+F48+G49+H48+I48+J48+L48)</f>
        <v>0</v>
      </c>
      <c r="N48" s="967">
        <v>0</v>
      </c>
      <c r="O48" s="977">
        <f t="shared" ref="O48:O50" si="5">M48-N49</f>
        <v>0</v>
      </c>
    </row>
    <row r="49" spans="1:23" ht="14.4">
      <c r="A49" s="119" t="e">
        <f t="shared" si="3"/>
        <v>#REF!</v>
      </c>
      <c r="B49" s="706" t="e">
        <f t="shared" si="3"/>
        <v>#REF!</v>
      </c>
      <c r="C49" s="148" t="e">
        <f t="shared" si="3"/>
        <v>#REF!</v>
      </c>
      <c r="D49" s="982">
        <v>0</v>
      </c>
      <c r="E49" s="982">
        <v>0</v>
      </c>
      <c r="F49" s="982">
        <v>0</v>
      </c>
      <c r="G49" s="982">
        <v>0</v>
      </c>
      <c r="H49" s="982">
        <v>0</v>
      </c>
      <c r="I49" s="982">
        <v>0</v>
      </c>
      <c r="J49" s="982">
        <v>0</v>
      </c>
      <c r="K49" s="982">
        <v>0</v>
      </c>
      <c r="L49" s="982">
        <v>0</v>
      </c>
      <c r="M49" s="982">
        <f>SUM(D49+E50+F49+G50+H49+I49+J49+L49)</f>
        <v>0</v>
      </c>
      <c r="N49" s="967">
        <v>0</v>
      </c>
      <c r="O49" s="977">
        <f t="shared" si="5"/>
        <v>0</v>
      </c>
    </row>
    <row r="50" spans="1:23" ht="14.4">
      <c r="A50" s="119" t="e">
        <f t="shared" si="3"/>
        <v>#REF!</v>
      </c>
      <c r="B50" s="148" t="e">
        <f t="shared" si="3"/>
        <v>#REF!</v>
      </c>
      <c r="C50" s="148" t="e">
        <f t="shared" si="3"/>
        <v>#REF!</v>
      </c>
      <c r="D50" s="982">
        <v>0</v>
      </c>
      <c r="E50" s="982">
        <v>0</v>
      </c>
      <c r="F50" s="982">
        <v>0</v>
      </c>
      <c r="G50" s="982">
        <v>0</v>
      </c>
      <c r="H50" s="982">
        <v>0</v>
      </c>
      <c r="I50" s="982">
        <v>0</v>
      </c>
      <c r="J50" s="982">
        <v>0</v>
      </c>
      <c r="K50" s="982">
        <v>0</v>
      </c>
      <c r="L50" s="982">
        <v>0</v>
      </c>
      <c r="M50" s="982">
        <f t="shared" si="4"/>
        <v>0</v>
      </c>
      <c r="N50" s="967">
        <v>0</v>
      </c>
      <c r="O50" s="977">
        <f t="shared" si="5"/>
        <v>0</v>
      </c>
    </row>
    <row r="51" spans="1:23" ht="15.05" thickBot="1">
      <c r="A51" s="144" t="e">
        <f t="shared" si="3"/>
        <v>#REF!</v>
      </c>
      <c r="B51" s="602" t="e">
        <f t="shared" si="3"/>
        <v>#REF!</v>
      </c>
      <c r="C51" s="602" t="e">
        <f t="shared" si="3"/>
        <v>#REF!</v>
      </c>
      <c r="D51" s="982">
        <v>0</v>
      </c>
      <c r="E51" s="982">
        <v>0</v>
      </c>
      <c r="F51" s="1050">
        <v>0</v>
      </c>
      <c r="G51" s="982">
        <v>0</v>
      </c>
      <c r="H51" s="982">
        <v>0</v>
      </c>
      <c r="I51" s="982">
        <v>0</v>
      </c>
      <c r="J51" s="982">
        <v>0</v>
      </c>
      <c r="K51" s="982">
        <v>0</v>
      </c>
      <c r="L51" s="982">
        <v>0</v>
      </c>
      <c r="M51" s="982">
        <f t="shared" si="4"/>
        <v>0</v>
      </c>
      <c r="N51" s="967">
        <v>0</v>
      </c>
      <c r="O51" s="985">
        <f>M51-N53</f>
        <v>0</v>
      </c>
    </row>
    <row r="52" spans="1:23" ht="19" thickBot="1">
      <c r="A52" s="1803" t="s">
        <v>393</v>
      </c>
      <c r="B52" s="1804"/>
      <c r="C52" s="1805"/>
      <c r="D52" s="1804"/>
      <c r="E52" s="1804"/>
      <c r="F52" s="1804"/>
      <c r="G52" s="1804"/>
      <c r="H52" s="1804"/>
      <c r="I52" s="1804"/>
      <c r="J52" s="1804"/>
      <c r="K52" s="1804"/>
      <c r="L52" s="1804"/>
      <c r="M52" s="1804"/>
      <c r="N52" s="1804"/>
      <c r="O52" s="1806"/>
      <c r="P52" s="208"/>
      <c r="Q52" s="89"/>
      <c r="R52" s="89"/>
      <c r="S52" s="89"/>
      <c r="T52" s="89"/>
      <c r="U52" s="89"/>
      <c r="V52" s="89"/>
      <c r="W52" s="89"/>
    </row>
    <row r="53" spans="1:23" ht="14.4">
      <c r="A53" s="137" t="e">
        <f>A51+1</f>
        <v>#REF!</v>
      </c>
      <c r="B53" s="1167" t="e">
        <f>B51+1</f>
        <v>#REF!</v>
      </c>
      <c r="C53" s="71" t="e">
        <f>C51+1</f>
        <v>#REF!</v>
      </c>
      <c r="D53" s="1284">
        <v>0</v>
      </c>
      <c r="E53" s="982">
        <v>0</v>
      </c>
      <c r="F53" s="982">
        <v>0</v>
      </c>
      <c r="G53" s="982">
        <v>0</v>
      </c>
      <c r="H53" s="982">
        <v>0</v>
      </c>
      <c r="I53" s="982">
        <v>0</v>
      </c>
      <c r="J53" s="982">
        <v>0</v>
      </c>
      <c r="K53" s="982">
        <v>0</v>
      </c>
      <c r="L53" s="982">
        <v>0</v>
      </c>
      <c r="M53" s="982">
        <f>SUM(D53+E54+F53+G53+H53+I53+J53+L53)</f>
        <v>0</v>
      </c>
      <c r="N53" s="967">
        <v>0</v>
      </c>
      <c r="O53" s="977">
        <f>M53-N54</f>
        <v>0</v>
      </c>
    </row>
    <row r="54" spans="1:23" ht="13.1" customHeight="1">
      <c r="A54" s="137" t="e">
        <f t="shared" ref="A54:C56" si="6">A53+1</f>
        <v>#REF!</v>
      </c>
      <c r="B54" s="706" t="e">
        <f t="shared" si="6"/>
        <v>#REF!</v>
      </c>
      <c r="C54" s="706" t="e">
        <f t="shared" si="6"/>
        <v>#REF!</v>
      </c>
      <c r="D54" s="1284">
        <v>0</v>
      </c>
      <c r="E54" s="982">
        <v>0</v>
      </c>
      <c r="F54" s="982">
        <v>0</v>
      </c>
      <c r="G54" s="982">
        <v>0</v>
      </c>
      <c r="H54" s="982">
        <v>0</v>
      </c>
      <c r="I54" s="982">
        <v>0</v>
      </c>
      <c r="J54" s="982">
        <v>0</v>
      </c>
      <c r="K54" s="982">
        <v>0</v>
      </c>
      <c r="L54" s="982">
        <v>0</v>
      </c>
      <c r="M54" s="982">
        <f>SUM(D54+E55+F54+G54+H54+I54+J54+L54)</f>
        <v>0</v>
      </c>
      <c r="N54" s="967">
        <v>0</v>
      </c>
      <c r="O54" s="977">
        <f>M54-N54</f>
        <v>0</v>
      </c>
    </row>
    <row r="55" spans="1:23" ht="13.1" customHeight="1">
      <c r="A55" s="137" t="e">
        <f t="shared" si="6"/>
        <v>#REF!</v>
      </c>
      <c r="B55" s="706" t="e">
        <f t="shared" si="6"/>
        <v>#REF!</v>
      </c>
      <c r="C55" s="706" t="e">
        <f t="shared" si="6"/>
        <v>#REF!</v>
      </c>
      <c r="D55" s="1284">
        <v>0</v>
      </c>
      <c r="E55" s="982">
        <v>0</v>
      </c>
      <c r="F55" s="982">
        <v>0</v>
      </c>
      <c r="G55" s="982">
        <v>0</v>
      </c>
      <c r="H55" s="982">
        <v>0</v>
      </c>
      <c r="I55" s="982">
        <v>0</v>
      </c>
      <c r="J55" s="982">
        <v>0</v>
      </c>
      <c r="K55" s="982">
        <v>0</v>
      </c>
      <c r="L55" s="982">
        <v>0</v>
      </c>
      <c r="M55" s="982">
        <f t="shared" si="4"/>
        <v>0</v>
      </c>
      <c r="N55" s="967">
        <v>0</v>
      </c>
      <c r="O55" s="977">
        <f t="shared" ref="O55:O56" si="7">M55-N55</f>
        <v>0</v>
      </c>
    </row>
    <row r="56" spans="1:23" ht="13.1" customHeight="1">
      <c r="A56" s="137" t="e">
        <f t="shared" si="6"/>
        <v>#REF!</v>
      </c>
      <c r="B56" s="706" t="e">
        <f t="shared" si="6"/>
        <v>#REF!</v>
      </c>
      <c r="C56" s="706" t="e">
        <f t="shared" si="6"/>
        <v>#REF!</v>
      </c>
      <c r="D56" s="1284">
        <v>0</v>
      </c>
      <c r="E56" s="982">
        <v>0</v>
      </c>
      <c r="F56" s="982">
        <v>0</v>
      </c>
      <c r="G56" s="982">
        <v>0</v>
      </c>
      <c r="H56" s="982">
        <v>0</v>
      </c>
      <c r="I56" s="982">
        <v>0</v>
      </c>
      <c r="J56" s="982">
        <v>0</v>
      </c>
      <c r="K56" s="982">
        <v>0</v>
      </c>
      <c r="L56" s="982">
        <v>0</v>
      </c>
      <c r="M56" s="982">
        <f t="shared" si="4"/>
        <v>0</v>
      </c>
      <c r="N56" s="967">
        <v>0</v>
      </c>
      <c r="O56" s="977">
        <f t="shared" si="7"/>
        <v>0</v>
      </c>
    </row>
    <row r="57" spans="1:23" ht="12.45">
      <c r="A57" s="1537"/>
      <c r="B57" s="1537"/>
      <c r="C57" s="1537"/>
      <c r="D57" s="1537"/>
      <c r="E57" s="1537"/>
      <c r="F57" s="1537"/>
      <c r="G57" s="1537"/>
      <c r="H57" s="1537"/>
      <c r="I57" s="1537"/>
      <c r="J57" s="1537"/>
      <c r="K57" s="1537"/>
      <c r="L57" s="1537"/>
      <c r="M57" s="1537"/>
      <c r="N57" s="1537"/>
      <c r="O57" s="1538"/>
    </row>
    <row r="58" spans="1:23" ht="23.6">
      <c r="A58" s="1775" t="s">
        <v>69</v>
      </c>
      <c r="B58" s="1775"/>
      <c r="C58" s="1775"/>
      <c r="D58" s="1775"/>
      <c r="E58" s="1775"/>
      <c r="F58" s="1775"/>
      <c r="G58" s="1775"/>
      <c r="H58" s="1775"/>
      <c r="I58" s="1775"/>
      <c r="J58" s="1775"/>
      <c r="K58" s="1775"/>
      <c r="L58" s="1775"/>
      <c r="M58" s="1775"/>
      <c r="N58" s="1775"/>
      <c r="O58" s="1775"/>
    </row>
    <row r="60" spans="1:23">
      <c r="A60" s="1540" t="s">
        <v>394</v>
      </c>
      <c r="B60" s="1540"/>
      <c r="C60" s="1540"/>
      <c r="D60" s="1540"/>
      <c r="E60" s="1540"/>
      <c r="F60" s="1540"/>
      <c r="G60" s="1540"/>
      <c r="H60" s="1540"/>
      <c r="I60" s="1540"/>
      <c r="J60" s="1540"/>
      <c r="K60" s="1540"/>
      <c r="L60" s="1540"/>
      <c r="M60" s="1540"/>
      <c r="N60" s="1540"/>
      <c r="O60" s="1540"/>
    </row>
    <row r="61" spans="1:23" ht="12.45">
      <c r="A61" s="1540" t="s">
        <v>71</v>
      </c>
      <c r="B61" s="1540"/>
      <c r="C61" s="1540"/>
      <c r="D61" s="1540"/>
      <c r="E61" s="1540"/>
      <c r="F61" s="1540"/>
      <c r="G61" s="1540"/>
      <c r="H61" s="1540"/>
      <c r="I61" s="1540"/>
      <c r="J61" s="1540"/>
      <c r="K61" s="1540"/>
      <c r="L61" s="1540"/>
      <c r="M61" s="1540"/>
      <c r="N61" s="1540"/>
      <c r="O61" s="1540"/>
    </row>
  </sheetData>
  <mergeCells count="32">
    <mergeCell ref="A61:O61"/>
    <mergeCell ref="A44:O44"/>
    <mergeCell ref="A45:O45"/>
    <mergeCell ref="A47:O47"/>
    <mergeCell ref="A52:O52"/>
    <mergeCell ref="A57:O57"/>
    <mergeCell ref="A58:O58"/>
    <mergeCell ref="A12:C12"/>
    <mergeCell ref="G12:H12"/>
    <mergeCell ref="J12:O12"/>
    <mergeCell ref="A20:C20"/>
    <mergeCell ref="A60:O60"/>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1"/>
  <sheetViews>
    <sheetView showGridLines="0" showRowColHeaders="0" topLeftCell="A15" workbookViewId="0">
      <selection activeCell="E17" sqref="E17"/>
      <extLst>
        <ext xmlns:xlsdti="http://schemas.microsoft.com/office/spreadsheetml/2023/showDataTypeIcons" uri="{77bfe23e-c014-4d31-8a63-9c772dbf06b6}">
          <xlsdti:showDataTypeIcons visible="0"/>
        </ext>
      </extLst>
    </sheetView>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81" t="s">
        <v>369</v>
      </c>
      <c r="B1" s="1782"/>
      <c r="C1" s="1782"/>
      <c r="D1" s="1783"/>
      <c r="E1" s="1018" t="s">
        <v>42</v>
      </c>
      <c r="F1" s="1784" t="s">
        <v>370</v>
      </c>
      <c r="G1" s="1785"/>
      <c r="H1" s="1786"/>
      <c r="I1" s="1018" t="s">
        <v>44</v>
      </c>
      <c r="J1" s="1787" t="s">
        <v>371</v>
      </c>
      <c r="K1" s="1785"/>
      <c r="L1" s="1786"/>
      <c r="M1" s="208"/>
    </row>
    <row r="2" spans="1:23" ht="15.05">
      <c r="A2" s="1069"/>
      <c r="B2" s="588"/>
      <c r="C2" s="588"/>
      <c r="D2" s="588"/>
      <c r="E2" s="1070"/>
      <c r="F2" s="192"/>
      <c r="G2" s="192"/>
      <c r="H2" s="192"/>
      <c r="I2" s="1070"/>
      <c r="J2" s="1071"/>
      <c r="K2" s="1072"/>
      <c r="L2" s="192"/>
      <c r="M2" s="208"/>
    </row>
    <row r="3" spans="1:23" ht="15.05">
      <c r="B3" s="89"/>
      <c r="C3" s="89"/>
      <c r="E3" s="1012" t="s">
        <v>372</v>
      </c>
      <c r="F3" s="1161"/>
      <c r="G3" s="1168"/>
      <c r="H3" s="1288" t="s">
        <v>373</v>
      </c>
      <c r="I3" s="1168"/>
      <c r="J3" s="1016">
        <f>I3-G3</f>
        <v>0</v>
      </c>
      <c r="K3" s="1033" t="s">
        <v>47</v>
      </c>
      <c r="L3" s="192"/>
      <c r="Q3" s="89"/>
    </row>
    <row r="4" spans="1:23" ht="17.7">
      <c r="C4" s="1173">
        <f ca="1">TODAY()</f>
        <v>46198</v>
      </c>
      <c r="E4" s="1159" t="s">
        <v>374</v>
      </c>
      <c r="F4" s="1160">
        <v>18853</v>
      </c>
      <c r="G4" s="1162">
        <v>0</v>
      </c>
      <c r="H4" s="1159">
        <v>74</v>
      </c>
      <c r="I4" s="1162">
        <v>0</v>
      </c>
      <c r="J4" s="971">
        <f>I4-G4</f>
        <v>0</v>
      </c>
      <c r="K4" s="1159" t="s">
        <v>47</v>
      </c>
    </row>
    <row r="5" spans="1:23" ht="20.3">
      <c r="C5" s="970">
        <v>2020</v>
      </c>
      <c r="D5" s="192"/>
      <c r="E5" s="925"/>
      <c r="F5" s="925"/>
      <c r="G5" s="925"/>
      <c r="H5" s="192"/>
      <c r="I5" s="969"/>
      <c r="J5" s="192">
        <v>7038</v>
      </c>
      <c r="K5" s="192"/>
      <c r="L5" s="969"/>
      <c r="M5" s="371"/>
      <c r="N5" s="192"/>
      <c r="P5" s="89"/>
      <c r="Q5" s="89"/>
      <c r="R5" s="89"/>
      <c r="S5" s="89"/>
      <c r="T5" s="89"/>
      <c r="U5" s="89"/>
      <c r="V5" s="89"/>
      <c r="W5" s="89"/>
    </row>
    <row r="6" spans="1:23" ht="17.7">
      <c r="A6" s="1788" t="s">
        <v>375</v>
      </c>
      <c r="B6" s="1789"/>
      <c r="C6" s="1790"/>
      <c r="D6" s="1169">
        <v>0</v>
      </c>
      <c r="E6" s="1791" t="s">
        <v>376</v>
      </c>
      <c r="F6" s="1741"/>
      <c r="G6" s="1015">
        <v>0</v>
      </c>
      <c r="H6" s="968" t="s">
        <v>377</v>
      </c>
      <c r="J6" s="968" t="s">
        <v>377</v>
      </c>
      <c r="K6" s="974"/>
      <c r="N6" s="16"/>
      <c r="O6" s="16"/>
      <c r="P6" s="89"/>
      <c r="Q6" s="89"/>
      <c r="R6" s="89"/>
      <c r="S6" s="89"/>
      <c r="T6" s="89"/>
      <c r="U6" s="89"/>
      <c r="V6" s="89"/>
      <c r="W6" s="89"/>
    </row>
    <row r="7" spans="1:23" ht="17.7">
      <c r="A7" s="1777" t="s">
        <v>378</v>
      </c>
      <c r="B7" s="1778"/>
      <c r="C7" s="1779"/>
      <c r="D7" s="1163">
        <v>0</v>
      </c>
      <c r="E7" s="1780" t="s">
        <v>379</v>
      </c>
      <c r="F7" s="1736"/>
      <c r="G7" s="1015">
        <v>85925.88</v>
      </c>
      <c r="H7" s="968" t="s">
        <v>204</v>
      </c>
      <c r="I7" s="1015">
        <f>G6+G7</f>
        <v>85925.88</v>
      </c>
      <c r="J7" s="968" t="s">
        <v>380</v>
      </c>
      <c r="K7" s="972">
        <f>G6+G7</f>
        <v>85925.88</v>
      </c>
      <c r="O7" s="16"/>
      <c r="P7" s="89"/>
      <c r="Q7" s="89"/>
      <c r="R7" s="89"/>
      <c r="S7" s="89"/>
      <c r="T7" s="89"/>
      <c r="U7" s="89"/>
      <c r="V7" s="89"/>
      <c r="W7" s="89"/>
    </row>
    <row r="10" spans="1:23" ht="17.7">
      <c r="A10" s="1524" t="s">
        <v>381</v>
      </c>
      <c r="B10" s="1524"/>
      <c r="C10" s="1524"/>
      <c r="D10" s="1524"/>
      <c r="E10" s="1010">
        <v>7160.49</v>
      </c>
      <c r="F10" s="965" t="s">
        <v>382</v>
      </c>
      <c r="G10" s="966">
        <f>E10*12</f>
        <v>85925.88</v>
      </c>
      <c r="H10" s="192"/>
      <c r="I10" s="1318">
        <v>102926.64</v>
      </c>
      <c r="J10" s="1734"/>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8" customHeight="1">
      <c r="A12" s="1742" t="s">
        <v>383</v>
      </c>
      <c r="B12" s="1743"/>
      <c r="C12" s="1744"/>
      <c r="D12" s="1170">
        <v>0</v>
      </c>
      <c r="E12" s="1013" t="s">
        <v>12</v>
      </c>
      <c r="F12" s="1013">
        <v>0</v>
      </c>
      <c r="G12" s="1745" t="s">
        <v>54</v>
      </c>
      <c r="H12" s="1746"/>
      <c r="I12" s="1021">
        <f>D12*12</f>
        <v>0</v>
      </c>
      <c r="J12" s="1553" t="s">
        <v>55</v>
      </c>
      <c r="K12" s="1553"/>
      <c r="L12" s="1553"/>
      <c r="M12" s="1553"/>
      <c r="N12" s="1553"/>
      <c r="O12" s="1553"/>
    </row>
    <row r="13" spans="1:23" ht="17.7">
      <c r="A13" s="1796">
        <v>0</v>
      </c>
      <c r="B13" s="1757"/>
      <c r="C13" s="1758"/>
      <c r="D13" s="1171">
        <v>0</v>
      </c>
      <c r="E13" s="1164">
        <v>67</v>
      </c>
      <c r="F13" s="1164">
        <v>67</v>
      </c>
      <c r="G13" s="1759" t="s">
        <v>54</v>
      </c>
      <c r="H13" s="1760"/>
      <c r="I13" s="973">
        <f>D13*12</f>
        <v>0</v>
      </c>
      <c r="J13" s="1552" t="s">
        <v>384</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809" t="s">
        <v>1058</v>
      </c>
      <c r="B15" s="1809"/>
      <c r="C15" s="1809"/>
      <c r="D15" s="1809"/>
      <c r="E15" s="1809"/>
      <c r="F15" s="1809"/>
      <c r="G15" s="1809"/>
      <c r="H15" s="1809"/>
      <c r="I15" s="1809"/>
      <c r="J15" s="1809"/>
      <c r="K15" s="1809"/>
      <c r="L15" s="1809"/>
      <c r="M15" s="1809"/>
      <c r="N15" s="1809"/>
      <c r="O15" s="1810"/>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82.5">
      <c r="A17" s="1110"/>
      <c r="B17" s="1110"/>
      <c r="C17" s="1110"/>
      <c r="D17" s="1352"/>
      <c r="E17" s="36"/>
      <c r="F17" s="36"/>
      <c r="G17" s="36" t="s">
        <v>386</v>
      </c>
      <c r="H17" s="36" t="s">
        <v>387</v>
      </c>
      <c r="I17" s="36" t="s">
        <v>410</v>
      </c>
      <c r="J17" s="36" t="s">
        <v>53</v>
      </c>
      <c r="K17" s="36"/>
      <c r="L17" s="36"/>
      <c r="M17" s="1067" t="s">
        <v>65</v>
      </c>
      <c r="N17" s="1014" t="s">
        <v>388</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285"/>
      <c r="G19" s="1006"/>
      <c r="H19" s="1154"/>
      <c r="I19" s="1154"/>
      <c r="J19" s="1154"/>
      <c r="K19" s="1154"/>
      <c r="L19" s="1154"/>
      <c r="M19" s="992"/>
      <c r="N19" s="992"/>
      <c r="O19" s="993"/>
    </row>
    <row r="20" spans="1:23">
      <c r="A20" s="1747" t="s">
        <v>389</v>
      </c>
      <c r="B20" s="1747"/>
      <c r="C20" s="1748"/>
      <c r="D20" s="976">
        <f>F12</f>
        <v>0</v>
      </c>
      <c r="E20" s="976"/>
      <c r="F20" s="976"/>
      <c r="G20" s="976"/>
      <c r="H20" s="1155"/>
      <c r="I20" s="1105">
        <v>175000</v>
      </c>
      <c r="J20" s="1105"/>
      <c r="K20" s="1105"/>
      <c r="L20" s="1105"/>
      <c r="M20" s="990"/>
      <c r="N20" s="989"/>
      <c r="O20" s="994"/>
    </row>
    <row r="21" spans="1:23" ht="16.05" customHeight="1">
      <c r="A21" s="1749" t="s">
        <v>26</v>
      </c>
      <c r="B21" s="1792" t="s">
        <v>390</v>
      </c>
      <c r="C21" s="1753" t="s">
        <v>59</v>
      </c>
      <c r="D21" s="975">
        <f>I12</f>
        <v>0</v>
      </c>
      <c r="E21" s="975"/>
      <c r="F21" s="975"/>
      <c r="G21" s="975"/>
      <c r="H21" s="975"/>
      <c r="I21" s="975"/>
      <c r="J21" s="975"/>
      <c r="K21" s="975"/>
      <c r="L21" s="975"/>
      <c r="M21" s="990"/>
      <c r="N21" s="989"/>
      <c r="O21" s="994"/>
    </row>
    <row r="22" spans="1:23" ht="16.05" customHeight="1">
      <c r="A22" s="1750"/>
      <c r="B22" s="1793"/>
      <c r="C22" s="1754"/>
      <c r="D22" s="1807"/>
      <c r="E22" s="1807"/>
      <c r="F22" s="1807"/>
      <c r="G22" s="1807"/>
      <c r="H22" s="1807"/>
      <c r="I22" s="1807"/>
      <c r="J22" s="1807"/>
      <c r="K22" s="1807"/>
      <c r="L22" s="1808"/>
      <c r="M22" s="991"/>
      <c r="N22" s="208"/>
      <c r="O22" s="995"/>
    </row>
    <row r="23" spans="1:23" ht="15.05">
      <c r="A23" s="979" t="s">
        <v>1061</v>
      </c>
      <c r="B23" s="604">
        <v>74</v>
      </c>
      <c r="C23" s="148">
        <v>0</v>
      </c>
      <c r="D23" s="982">
        <v>0</v>
      </c>
      <c r="E23" s="982">
        <v>0</v>
      </c>
      <c r="F23" s="982">
        <v>0</v>
      </c>
      <c r="G23" s="1111">
        <v>32040.84</v>
      </c>
      <c r="H23" s="982">
        <v>53885.04</v>
      </c>
      <c r="I23" s="982">
        <v>15645</v>
      </c>
      <c r="J23" s="1351">
        <v>12888</v>
      </c>
      <c r="K23" s="982">
        <v>0</v>
      </c>
      <c r="L23" s="982">
        <v>0</v>
      </c>
      <c r="M23" s="980">
        <f>D23+E23+F23+G23+H23+I23+J23+K23+L23</f>
        <v>114458.88</v>
      </c>
      <c r="N23" s="1198">
        <f>I10</f>
        <v>102926.64</v>
      </c>
      <c r="O23" s="1157">
        <f>M23-N24</f>
        <v>11532.240000000005</v>
      </c>
    </row>
    <row r="24" spans="1:23" ht="15.05">
      <c r="A24" s="119">
        <f t="shared" ref="A24:C39" si="0">A23+1</f>
        <v>2027</v>
      </c>
      <c r="B24" s="602">
        <f t="shared" si="0"/>
        <v>75</v>
      </c>
      <c r="C24" s="603">
        <f t="shared" si="0"/>
        <v>1</v>
      </c>
      <c r="D24" s="982">
        <v>0</v>
      </c>
      <c r="E24" s="982">
        <v>0</v>
      </c>
      <c r="F24" s="982">
        <v>0</v>
      </c>
      <c r="G24" s="1111">
        <v>32040.84</v>
      </c>
      <c r="H24" s="982">
        <v>53885.04</v>
      </c>
      <c r="I24" s="982">
        <v>15645</v>
      </c>
      <c r="J24" s="1351">
        <v>12888</v>
      </c>
      <c r="K24" s="982">
        <v>0</v>
      </c>
      <c r="L24" s="982">
        <v>0</v>
      </c>
      <c r="M24" s="980">
        <f t="shared" ref="M24:M40" si="1">D24+E24+F24+G24+H24+I24+J24+K24+L24</f>
        <v>114458.88</v>
      </c>
      <c r="N24" s="967">
        <f>I10</f>
        <v>102926.64</v>
      </c>
      <c r="O24" s="1157">
        <f t="shared" ref="O24:O41" si="2">M24-N25</f>
        <v>11532.240000000005</v>
      </c>
    </row>
    <row r="25" spans="1:23" ht="15.05">
      <c r="A25" s="155">
        <f t="shared" si="0"/>
        <v>2028</v>
      </c>
      <c r="B25" s="1287">
        <f t="shared" si="0"/>
        <v>76</v>
      </c>
      <c r="C25" s="148">
        <f t="shared" si="0"/>
        <v>2</v>
      </c>
      <c r="D25" s="982">
        <v>0</v>
      </c>
      <c r="E25" s="982">
        <v>0</v>
      </c>
      <c r="F25" s="982">
        <v>0</v>
      </c>
      <c r="G25" s="1111">
        <v>32040.84</v>
      </c>
      <c r="H25" s="982">
        <v>53885.04</v>
      </c>
      <c r="I25" s="982">
        <v>15645</v>
      </c>
      <c r="J25" s="1351">
        <v>12888</v>
      </c>
      <c r="K25" s="982">
        <v>0</v>
      </c>
      <c r="L25" s="982">
        <v>0</v>
      </c>
      <c r="M25" s="980">
        <f t="shared" si="1"/>
        <v>114458.88</v>
      </c>
      <c r="N25" s="967">
        <f>I10</f>
        <v>102926.64</v>
      </c>
      <c r="O25" s="1157">
        <f t="shared" si="2"/>
        <v>11532.240000000005</v>
      </c>
    </row>
    <row r="26" spans="1:23" ht="15.05">
      <c r="A26" s="119">
        <f t="shared" si="0"/>
        <v>2029</v>
      </c>
      <c r="B26" s="706">
        <f t="shared" si="0"/>
        <v>77</v>
      </c>
      <c r="C26" s="706">
        <f t="shared" si="0"/>
        <v>3</v>
      </c>
      <c r="D26" s="982">
        <v>0</v>
      </c>
      <c r="E26" s="982">
        <v>0</v>
      </c>
      <c r="F26" s="982">
        <v>0</v>
      </c>
      <c r="G26" s="1111">
        <v>32040.84</v>
      </c>
      <c r="H26" s="982">
        <v>53885.04</v>
      </c>
      <c r="I26" s="982">
        <v>15645</v>
      </c>
      <c r="J26" s="1351">
        <v>12888</v>
      </c>
      <c r="K26" s="982">
        <v>0</v>
      </c>
      <c r="L26" s="982">
        <v>0</v>
      </c>
      <c r="M26" s="980">
        <f t="shared" si="1"/>
        <v>114458.88</v>
      </c>
      <c r="N26" s="967">
        <f>I10</f>
        <v>102926.64</v>
      </c>
      <c r="O26" s="1157">
        <f t="shared" si="2"/>
        <v>11532.240000000005</v>
      </c>
    </row>
    <row r="27" spans="1:23" ht="15.05">
      <c r="A27" s="119">
        <f t="shared" si="0"/>
        <v>2030</v>
      </c>
      <c r="B27" s="148">
        <f t="shared" si="0"/>
        <v>78</v>
      </c>
      <c r="C27" s="148">
        <f t="shared" si="0"/>
        <v>4</v>
      </c>
      <c r="D27" s="982">
        <v>0</v>
      </c>
      <c r="E27" s="982">
        <v>0</v>
      </c>
      <c r="F27" s="982">
        <v>0</v>
      </c>
      <c r="G27" s="1111">
        <v>32040.84</v>
      </c>
      <c r="H27" s="982">
        <v>53885.04</v>
      </c>
      <c r="I27" s="982">
        <v>15645</v>
      </c>
      <c r="J27" s="1351">
        <v>12888</v>
      </c>
      <c r="K27" s="982">
        <v>0</v>
      </c>
      <c r="L27" s="982">
        <v>0</v>
      </c>
      <c r="M27" s="980">
        <f t="shared" si="1"/>
        <v>114458.88</v>
      </c>
      <c r="N27" s="967">
        <f>I10</f>
        <v>102926.64</v>
      </c>
      <c r="O27" s="1157">
        <f t="shared" si="2"/>
        <v>11532.240000000005</v>
      </c>
    </row>
    <row r="28" spans="1:23" ht="15.05">
      <c r="A28" s="119">
        <f t="shared" si="0"/>
        <v>2031</v>
      </c>
      <c r="B28" s="602">
        <f t="shared" si="0"/>
        <v>79</v>
      </c>
      <c r="C28" s="602">
        <f t="shared" si="0"/>
        <v>5</v>
      </c>
      <c r="D28" s="982">
        <v>0</v>
      </c>
      <c r="E28" s="982">
        <v>0</v>
      </c>
      <c r="F28" s="982">
        <v>0</v>
      </c>
      <c r="G28" s="1111">
        <v>32040.84</v>
      </c>
      <c r="H28" s="982">
        <v>53885.04</v>
      </c>
      <c r="I28" s="982">
        <v>15645</v>
      </c>
      <c r="J28" s="1351">
        <v>12888</v>
      </c>
      <c r="K28" s="982">
        <v>0</v>
      </c>
      <c r="L28" s="982">
        <v>0</v>
      </c>
      <c r="M28" s="980">
        <f t="shared" si="1"/>
        <v>114458.88</v>
      </c>
      <c r="N28" s="967">
        <f>I10</f>
        <v>102926.64</v>
      </c>
      <c r="O28" s="1157">
        <f t="shared" si="2"/>
        <v>11532.240000000005</v>
      </c>
    </row>
    <row r="29" spans="1:23" ht="15.05">
      <c r="A29" s="155">
        <f t="shared" si="0"/>
        <v>2032</v>
      </c>
      <c r="B29" s="148">
        <f t="shared" si="0"/>
        <v>80</v>
      </c>
      <c r="C29" s="148">
        <f t="shared" si="0"/>
        <v>6</v>
      </c>
      <c r="D29" s="982">
        <v>0</v>
      </c>
      <c r="E29" s="982">
        <v>0</v>
      </c>
      <c r="F29" s="982">
        <v>0</v>
      </c>
      <c r="G29" s="1111">
        <v>32040.84</v>
      </c>
      <c r="H29" s="982">
        <v>53885.04</v>
      </c>
      <c r="I29" s="982">
        <v>15645</v>
      </c>
      <c r="J29" s="1351">
        <v>12888</v>
      </c>
      <c r="K29" s="982">
        <v>0</v>
      </c>
      <c r="L29" s="982">
        <v>0</v>
      </c>
      <c r="M29" s="980">
        <f t="shared" si="1"/>
        <v>114458.88</v>
      </c>
      <c r="N29" s="967">
        <f>I10</f>
        <v>102926.64</v>
      </c>
      <c r="O29" s="1157">
        <f t="shared" si="2"/>
        <v>11532.240000000005</v>
      </c>
    </row>
    <row r="30" spans="1:23" ht="15.05">
      <c r="A30" s="119">
        <f t="shared" si="0"/>
        <v>2033</v>
      </c>
      <c r="B30" s="706">
        <f t="shared" si="0"/>
        <v>81</v>
      </c>
      <c r="C30" s="706">
        <f t="shared" si="0"/>
        <v>7</v>
      </c>
      <c r="D30" s="982">
        <v>0</v>
      </c>
      <c r="E30" s="982">
        <v>0</v>
      </c>
      <c r="F30" s="982">
        <v>0</v>
      </c>
      <c r="G30" s="1111">
        <v>32040.84</v>
      </c>
      <c r="H30" s="982">
        <v>53885.04</v>
      </c>
      <c r="I30" s="982">
        <v>15645</v>
      </c>
      <c r="J30" s="1351">
        <v>12888</v>
      </c>
      <c r="K30" s="982">
        <v>0</v>
      </c>
      <c r="L30" s="982">
        <v>0</v>
      </c>
      <c r="M30" s="980">
        <f t="shared" si="1"/>
        <v>114458.88</v>
      </c>
      <c r="N30" s="967">
        <f>I10</f>
        <v>102926.64</v>
      </c>
      <c r="O30" s="1157">
        <f t="shared" si="2"/>
        <v>11532.240000000005</v>
      </c>
    </row>
    <row r="31" spans="1:23" ht="15.05">
      <c r="A31" s="119">
        <f t="shared" si="0"/>
        <v>2034</v>
      </c>
      <c r="B31" s="148">
        <f t="shared" si="0"/>
        <v>82</v>
      </c>
      <c r="C31" s="148">
        <f t="shared" si="0"/>
        <v>8</v>
      </c>
      <c r="D31" s="982">
        <v>0</v>
      </c>
      <c r="E31" s="982">
        <v>0</v>
      </c>
      <c r="F31" s="982">
        <v>0</v>
      </c>
      <c r="G31" s="1111">
        <v>32040.84</v>
      </c>
      <c r="H31" s="982">
        <v>53885.04</v>
      </c>
      <c r="I31" s="982">
        <v>15645</v>
      </c>
      <c r="J31" s="1351">
        <v>12888</v>
      </c>
      <c r="K31" s="982">
        <v>0</v>
      </c>
      <c r="L31" s="982">
        <v>0</v>
      </c>
      <c r="M31" s="980">
        <f t="shared" si="1"/>
        <v>114458.88</v>
      </c>
      <c r="N31" s="967">
        <f>I10</f>
        <v>102926.64</v>
      </c>
      <c r="O31" s="1157">
        <f t="shared" si="2"/>
        <v>11532.240000000005</v>
      </c>
    </row>
    <row r="32" spans="1:23" ht="15.05">
      <c r="A32" s="119">
        <f t="shared" si="0"/>
        <v>2035</v>
      </c>
      <c r="B32" s="148">
        <f t="shared" si="0"/>
        <v>83</v>
      </c>
      <c r="C32" s="148">
        <f t="shared" si="0"/>
        <v>9</v>
      </c>
      <c r="D32" s="982">
        <v>0</v>
      </c>
      <c r="E32" s="982">
        <v>0</v>
      </c>
      <c r="F32" s="982">
        <v>0</v>
      </c>
      <c r="G32" s="1111">
        <v>32040.84</v>
      </c>
      <c r="H32" s="982">
        <v>53885.04</v>
      </c>
      <c r="I32" s="982">
        <v>15645</v>
      </c>
      <c r="J32" s="1351">
        <v>12888</v>
      </c>
      <c r="K32" s="982">
        <v>0</v>
      </c>
      <c r="L32" s="982">
        <v>0</v>
      </c>
      <c r="M32" s="980">
        <f t="shared" si="1"/>
        <v>114458.88</v>
      </c>
      <c r="N32" s="967">
        <f>I10</f>
        <v>102926.64</v>
      </c>
      <c r="O32" s="1157">
        <f t="shared" si="2"/>
        <v>11532.240000000005</v>
      </c>
    </row>
    <row r="33" spans="1:15" ht="15.05">
      <c r="A33" s="119">
        <f t="shared" si="0"/>
        <v>2036</v>
      </c>
      <c r="B33" s="148">
        <f t="shared" si="0"/>
        <v>84</v>
      </c>
      <c r="C33" s="148">
        <f t="shared" si="0"/>
        <v>10</v>
      </c>
      <c r="D33" s="982">
        <v>0</v>
      </c>
      <c r="E33" s="982">
        <v>0</v>
      </c>
      <c r="F33" s="982">
        <v>0</v>
      </c>
      <c r="G33" s="1111">
        <v>32040.84</v>
      </c>
      <c r="H33" s="982">
        <v>53885.04</v>
      </c>
      <c r="I33" s="982">
        <v>15645</v>
      </c>
      <c r="J33" s="1351">
        <v>12888</v>
      </c>
      <c r="K33" s="982">
        <v>0</v>
      </c>
      <c r="L33" s="982">
        <v>0</v>
      </c>
      <c r="M33" s="980">
        <f t="shared" si="1"/>
        <v>114458.88</v>
      </c>
      <c r="N33" s="967">
        <f>I10</f>
        <v>102926.64</v>
      </c>
      <c r="O33" s="1157">
        <f t="shared" si="2"/>
        <v>11532.240000000005</v>
      </c>
    </row>
    <row r="34" spans="1:15" ht="15.05">
      <c r="A34" s="119">
        <f t="shared" si="0"/>
        <v>2037</v>
      </c>
      <c r="B34" s="148">
        <f t="shared" si="0"/>
        <v>85</v>
      </c>
      <c r="C34" s="148">
        <f t="shared" si="0"/>
        <v>11</v>
      </c>
      <c r="D34" s="982">
        <v>0</v>
      </c>
      <c r="E34" s="982">
        <v>0</v>
      </c>
      <c r="F34" s="982">
        <v>0</v>
      </c>
      <c r="G34" s="1111">
        <v>32040.84</v>
      </c>
      <c r="H34" s="982">
        <v>53885.04</v>
      </c>
      <c r="I34" s="982">
        <v>15645</v>
      </c>
      <c r="J34" s="1351">
        <v>12888</v>
      </c>
      <c r="K34" s="982">
        <v>0</v>
      </c>
      <c r="L34" s="982">
        <v>0</v>
      </c>
      <c r="M34" s="980">
        <f t="shared" si="1"/>
        <v>114458.88</v>
      </c>
      <c r="N34" s="967">
        <f>I10</f>
        <v>102926.64</v>
      </c>
      <c r="O34" s="1157">
        <f t="shared" si="2"/>
        <v>11532.240000000005</v>
      </c>
    </row>
    <row r="35" spans="1:15" ht="15.05">
      <c r="A35" s="119">
        <f t="shared" si="0"/>
        <v>2038</v>
      </c>
      <c r="B35" s="148">
        <f t="shared" si="0"/>
        <v>86</v>
      </c>
      <c r="C35" s="148">
        <f t="shared" si="0"/>
        <v>12</v>
      </c>
      <c r="D35" s="982">
        <v>0</v>
      </c>
      <c r="E35" s="982">
        <v>0</v>
      </c>
      <c r="F35" s="982">
        <v>0</v>
      </c>
      <c r="G35" s="1111">
        <v>32040.84</v>
      </c>
      <c r="H35" s="982">
        <v>53885.04</v>
      </c>
      <c r="I35" s="982">
        <v>15645</v>
      </c>
      <c r="J35" s="1351">
        <v>12888</v>
      </c>
      <c r="K35" s="982">
        <v>0</v>
      </c>
      <c r="L35" s="982">
        <v>0</v>
      </c>
      <c r="M35" s="980">
        <f t="shared" si="1"/>
        <v>114458.88</v>
      </c>
      <c r="N35" s="967">
        <f>I10</f>
        <v>102926.64</v>
      </c>
      <c r="O35" s="1157">
        <f t="shared" si="2"/>
        <v>11532.240000000005</v>
      </c>
    </row>
    <row r="36" spans="1:15" ht="15.05">
      <c r="A36" s="119">
        <f t="shared" si="0"/>
        <v>2039</v>
      </c>
      <c r="B36" s="148">
        <f t="shared" si="0"/>
        <v>87</v>
      </c>
      <c r="C36" s="148">
        <f t="shared" si="0"/>
        <v>13</v>
      </c>
      <c r="D36" s="982">
        <v>0</v>
      </c>
      <c r="E36" s="982">
        <v>0</v>
      </c>
      <c r="F36" s="982">
        <v>0</v>
      </c>
      <c r="G36" s="1111">
        <v>32040.84</v>
      </c>
      <c r="H36" s="982">
        <v>53885.04</v>
      </c>
      <c r="I36" s="982">
        <v>15645</v>
      </c>
      <c r="J36" s="1351">
        <v>12888</v>
      </c>
      <c r="K36" s="982">
        <v>0</v>
      </c>
      <c r="L36" s="982">
        <v>0</v>
      </c>
      <c r="M36" s="980">
        <f t="shared" si="1"/>
        <v>114458.88</v>
      </c>
      <c r="N36" s="967">
        <f>I10</f>
        <v>102926.64</v>
      </c>
      <c r="O36" s="1157">
        <f t="shared" si="2"/>
        <v>11532.240000000005</v>
      </c>
    </row>
    <row r="37" spans="1:15" ht="15.05">
      <c r="A37" s="119">
        <f t="shared" si="0"/>
        <v>2040</v>
      </c>
      <c r="B37" s="148">
        <f t="shared" si="0"/>
        <v>88</v>
      </c>
      <c r="C37" s="148">
        <f t="shared" si="0"/>
        <v>14</v>
      </c>
      <c r="D37" s="982">
        <v>0</v>
      </c>
      <c r="E37" s="982">
        <v>0</v>
      </c>
      <c r="F37" s="982">
        <v>0</v>
      </c>
      <c r="G37" s="1111">
        <v>32040.84</v>
      </c>
      <c r="H37" s="982">
        <v>53885.04</v>
      </c>
      <c r="I37" s="982">
        <v>15645</v>
      </c>
      <c r="J37" s="1351">
        <v>12888</v>
      </c>
      <c r="K37" s="982">
        <v>0</v>
      </c>
      <c r="L37" s="982">
        <v>0</v>
      </c>
      <c r="M37" s="980">
        <f t="shared" si="1"/>
        <v>114458.88</v>
      </c>
      <c r="N37" s="967">
        <f>I10</f>
        <v>102926.64</v>
      </c>
      <c r="O37" s="1157">
        <f t="shared" si="2"/>
        <v>11532.240000000005</v>
      </c>
    </row>
    <row r="38" spans="1:15" ht="15.05">
      <c r="A38" s="155">
        <f t="shared" si="0"/>
        <v>2041</v>
      </c>
      <c r="B38" s="148">
        <f t="shared" si="0"/>
        <v>89</v>
      </c>
      <c r="C38" s="1165">
        <f t="shared" si="0"/>
        <v>15</v>
      </c>
      <c r="D38" s="982">
        <v>0</v>
      </c>
      <c r="E38" s="982">
        <v>0</v>
      </c>
      <c r="F38" s="982">
        <v>0</v>
      </c>
      <c r="G38" s="1111">
        <v>32040.84</v>
      </c>
      <c r="H38" s="982">
        <v>53885.04</v>
      </c>
      <c r="I38" s="982">
        <v>15645</v>
      </c>
      <c r="J38" s="1351">
        <v>12888</v>
      </c>
      <c r="K38" s="982">
        <v>0</v>
      </c>
      <c r="L38" s="982">
        <v>0</v>
      </c>
      <c r="M38" s="980">
        <f t="shared" si="1"/>
        <v>114458.88</v>
      </c>
      <c r="N38" s="967">
        <f>I10</f>
        <v>102926.64</v>
      </c>
      <c r="O38" s="1157">
        <f t="shared" si="2"/>
        <v>11532.240000000005</v>
      </c>
    </row>
    <row r="39" spans="1:15" ht="15.05">
      <c r="A39" s="119">
        <f t="shared" si="0"/>
        <v>2042</v>
      </c>
      <c r="B39" s="706">
        <f t="shared" si="0"/>
        <v>90</v>
      </c>
      <c r="C39" s="148">
        <f t="shared" si="0"/>
        <v>16</v>
      </c>
      <c r="D39" s="982">
        <v>0</v>
      </c>
      <c r="E39" s="982">
        <v>0</v>
      </c>
      <c r="F39" s="982">
        <v>0</v>
      </c>
      <c r="G39" s="1111">
        <v>32040.84</v>
      </c>
      <c r="H39" s="982">
        <v>53885.04</v>
      </c>
      <c r="I39" s="982">
        <v>15645</v>
      </c>
      <c r="J39" s="1351">
        <v>12888</v>
      </c>
      <c r="K39" s="982">
        <v>0</v>
      </c>
      <c r="L39" s="982">
        <v>0</v>
      </c>
      <c r="M39" s="980">
        <f t="shared" si="1"/>
        <v>114458.88</v>
      </c>
      <c r="N39" s="967">
        <f>I10</f>
        <v>102926.64</v>
      </c>
      <c r="O39" s="1157">
        <f t="shared" si="2"/>
        <v>11532.240000000005</v>
      </c>
    </row>
    <row r="40" spans="1:15" ht="15.05">
      <c r="A40" s="119">
        <f t="shared" ref="A40:C51" si="3">A39+1</f>
        <v>2043</v>
      </c>
      <c r="B40" s="148">
        <f t="shared" si="3"/>
        <v>91</v>
      </c>
      <c r="C40" s="148">
        <f t="shared" si="3"/>
        <v>17</v>
      </c>
      <c r="D40" s="982">
        <v>0</v>
      </c>
      <c r="E40" s="982">
        <v>0</v>
      </c>
      <c r="F40" s="982">
        <v>0</v>
      </c>
      <c r="G40" s="1111">
        <v>32040.84</v>
      </c>
      <c r="H40" s="982">
        <v>53885.04</v>
      </c>
      <c r="I40" s="982">
        <v>15645</v>
      </c>
      <c r="J40" s="1351">
        <v>12888</v>
      </c>
      <c r="K40" s="982">
        <v>0</v>
      </c>
      <c r="L40" s="982">
        <v>0</v>
      </c>
      <c r="M40" s="980">
        <f t="shared" si="1"/>
        <v>114458.88</v>
      </c>
      <c r="N40" s="967">
        <f>I10</f>
        <v>102926.64</v>
      </c>
      <c r="O40" s="1157">
        <f t="shared" si="2"/>
        <v>11532.240000000005</v>
      </c>
    </row>
    <row r="41" spans="1:15" ht="15.05">
      <c r="A41" s="119">
        <f>A40+1</f>
        <v>2044</v>
      </c>
      <c r="B41" s="148">
        <f>B40+1</f>
        <v>92</v>
      </c>
      <c r="C41" s="148">
        <f>C40+1</f>
        <v>18</v>
      </c>
      <c r="D41" s="982">
        <v>0</v>
      </c>
      <c r="E41" s="982">
        <v>0</v>
      </c>
      <c r="F41" s="982">
        <v>0</v>
      </c>
      <c r="G41" s="1111">
        <v>32040.84</v>
      </c>
      <c r="H41" s="982">
        <v>53885.04</v>
      </c>
      <c r="I41" s="982">
        <v>15645</v>
      </c>
      <c r="J41" s="1351">
        <v>12888</v>
      </c>
      <c r="K41" s="982">
        <v>0</v>
      </c>
      <c r="L41" s="982">
        <v>0</v>
      </c>
      <c r="M41" s="981">
        <f t="shared" ref="M41:M56" si="4">SUM(D41+E41+F41+G41+H41+I41+J41+L41)</f>
        <v>114458.88</v>
      </c>
      <c r="N41" s="967">
        <f>I10</f>
        <v>102926.64</v>
      </c>
      <c r="O41" s="1157">
        <f t="shared" si="2"/>
        <v>11532.240000000005</v>
      </c>
    </row>
    <row r="42" spans="1:15" ht="15.05">
      <c r="A42" s="119">
        <f t="shared" si="3"/>
        <v>2045</v>
      </c>
      <c r="B42" s="148">
        <f t="shared" si="3"/>
        <v>93</v>
      </c>
      <c r="C42" s="148">
        <f t="shared" si="3"/>
        <v>19</v>
      </c>
      <c r="D42" s="982">
        <v>0</v>
      </c>
      <c r="E42" s="982">
        <v>0</v>
      </c>
      <c r="F42" s="982">
        <v>0</v>
      </c>
      <c r="G42" s="1111">
        <v>32040.84</v>
      </c>
      <c r="H42" s="982">
        <v>53885.04</v>
      </c>
      <c r="I42" s="982">
        <v>15645</v>
      </c>
      <c r="J42" s="1351">
        <v>12888</v>
      </c>
      <c r="K42" s="982">
        <v>0</v>
      </c>
      <c r="L42" s="982">
        <v>0</v>
      </c>
      <c r="M42" s="982">
        <f t="shared" si="4"/>
        <v>114458.88</v>
      </c>
      <c r="N42" s="967">
        <f>I10</f>
        <v>102926.64</v>
      </c>
      <c r="O42" s="1289">
        <f>M43-N43</f>
        <v>11532.240000000005</v>
      </c>
    </row>
    <row r="43" spans="1:15" ht="15.05">
      <c r="A43" s="119">
        <f t="shared" si="3"/>
        <v>2046</v>
      </c>
      <c r="B43" s="148">
        <f t="shared" si="3"/>
        <v>94</v>
      </c>
      <c r="C43" s="148">
        <f t="shared" si="3"/>
        <v>20</v>
      </c>
      <c r="D43" s="982">
        <v>0</v>
      </c>
      <c r="E43" s="982">
        <v>0</v>
      </c>
      <c r="F43" s="982">
        <v>0</v>
      </c>
      <c r="G43" s="1111">
        <v>32040.84</v>
      </c>
      <c r="H43" s="982">
        <v>53885.04</v>
      </c>
      <c r="I43" s="982">
        <v>15645</v>
      </c>
      <c r="J43" s="1351">
        <v>12888</v>
      </c>
      <c r="K43" s="982">
        <v>0</v>
      </c>
      <c r="L43" s="982">
        <v>0</v>
      </c>
      <c r="M43" s="980">
        <f t="shared" si="4"/>
        <v>114458.88</v>
      </c>
      <c r="N43" s="967">
        <f>I10</f>
        <v>102926.64</v>
      </c>
      <c r="O43" s="1289">
        <f>M43-N43</f>
        <v>11532.240000000005</v>
      </c>
    </row>
    <row r="44" spans="1:15" s="211" customFormat="1" ht="12.45">
      <c r="A44" s="1762"/>
      <c r="B44" s="1763"/>
      <c r="C44" s="1763"/>
      <c r="D44" s="1763"/>
      <c r="E44" s="1763"/>
      <c r="F44" s="1763"/>
      <c r="G44" s="1763"/>
      <c r="H44" s="1763"/>
      <c r="I44" s="1763"/>
      <c r="J44" s="1763"/>
      <c r="K44" s="1763"/>
      <c r="L44" s="1763"/>
      <c r="M44" s="1763"/>
      <c r="N44" s="1763"/>
      <c r="O44" s="1764"/>
    </row>
    <row r="45" spans="1:15" s="211" customFormat="1" ht="23.6">
      <c r="A45" s="1765" t="s">
        <v>391</v>
      </c>
      <c r="B45" s="1766"/>
      <c r="C45" s="1766"/>
      <c r="D45" s="1766"/>
      <c r="E45" s="1766"/>
      <c r="F45" s="1766"/>
      <c r="G45" s="1766"/>
      <c r="H45" s="1766"/>
      <c r="I45" s="1766"/>
      <c r="J45" s="1766"/>
      <c r="K45" s="1766"/>
      <c r="L45" s="1766"/>
      <c r="M45" s="1766"/>
      <c r="N45" s="1766"/>
      <c r="O45" s="1766"/>
    </row>
    <row r="46" spans="1:15" s="211" customFormat="1" ht="14.4">
      <c r="A46" s="1283"/>
      <c r="B46" s="1282"/>
      <c r="C46" s="1282"/>
      <c r="D46" s="1047"/>
      <c r="E46" s="1047"/>
      <c r="F46" s="1047"/>
      <c r="G46" s="1047"/>
      <c r="H46" s="1047"/>
      <c r="I46" s="1047"/>
      <c r="J46" s="1047"/>
      <c r="K46" s="1047"/>
      <c r="L46" s="1047"/>
      <c r="M46" s="1047"/>
      <c r="N46" s="1048"/>
      <c r="O46" s="1049"/>
    </row>
    <row r="47" spans="1:15" s="211" customFormat="1" ht="18.350000000000001">
      <c r="A47" s="1799" t="s">
        <v>392</v>
      </c>
      <c r="B47" s="1800"/>
      <c r="C47" s="1801"/>
      <c r="D47" s="1801"/>
      <c r="E47" s="1801"/>
      <c r="F47" s="1801"/>
      <c r="G47" s="1801"/>
      <c r="H47" s="1801"/>
      <c r="I47" s="1801"/>
      <c r="J47" s="1801"/>
      <c r="K47" s="1801"/>
      <c r="L47" s="1801"/>
      <c r="M47" s="1801"/>
      <c r="N47" s="1801"/>
      <c r="O47" s="1802"/>
    </row>
    <row r="48" spans="1:15" ht="14.4">
      <c r="A48" s="1055" t="e">
        <f>#REF!+1</f>
        <v>#REF!</v>
      </c>
      <c r="B48" s="1199" t="e">
        <f>#REF!+1</f>
        <v>#REF!</v>
      </c>
      <c r="C48" s="1166" t="e">
        <f>#REF!+1</f>
        <v>#REF!</v>
      </c>
      <c r="D48" s="982">
        <v>0</v>
      </c>
      <c r="E48" s="982">
        <v>0</v>
      </c>
      <c r="F48" s="982">
        <v>0</v>
      </c>
      <c r="G48" s="982">
        <v>0</v>
      </c>
      <c r="H48" s="982">
        <v>0</v>
      </c>
      <c r="I48" s="982">
        <v>0</v>
      </c>
      <c r="J48" s="982">
        <v>0</v>
      </c>
      <c r="K48" s="982">
        <v>0</v>
      </c>
      <c r="L48" s="982">
        <v>0</v>
      </c>
      <c r="M48" s="982">
        <f>SUM(D48+E49+F48+G49+H48+I48+J48+L48)</f>
        <v>0</v>
      </c>
      <c r="N48" s="967">
        <v>0</v>
      </c>
      <c r="O48" s="977">
        <f t="shared" ref="O48:O50" si="5">M48-N49</f>
        <v>0</v>
      </c>
    </row>
    <row r="49" spans="1:23" ht="14.4">
      <c r="A49" s="119" t="e">
        <f t="shared" si="3"/>
        <v>#REF!</v>
      </c>
      <c r="B49" s="706" t="e">
        <f t="shared" si="3"/>
        <v>#REF!</v>
      </c>
      <c r="C49" s="148" t="e">
        <f t="shared" si="3"/>
        <v>#REF!</v>
      </c>
      <c r="D49" s="982">
        <v>0</v>
      </c>
      <c r="E49" s="982">
        <v>0</v>
      </c>
      <c r="F49" s="982">
        <v>0</v>
      </c>
      <c r="G49" s="982">
        <v>0</v>
      </c>
      <c r="H49" s="982">
        <v>0</v>
      </c>
      <c r="I49" s="982">
        <v>0</v>
      </c>
      <c r="J49" s="982">
        <v>0</v>
      </c>
      <c r="K49" s="982">
        <v>0</v>
      </c>
      <c r="L49" s="982">
        <v>0</v>
      </c>
      <c r="M49" s="982">
        <f>SUM(D49+E50+F49+G50+H49+I49+J49+L49)</f>
        <v>0</v>
      </c>
      <c r="N49" s="967">
        <v>0</v>
      </c>
      <c r="O49" s="977">
        <f t="shared" si="5"/>
        <v>0</v>
      </c>
    </row>
    <row r="50" spans="1:23" ht="14.4">
      <c r="A50" s="119" t="e">
        <f t="shared" si="3"/>
        <v>#REF!</v>
      </c>
      <c r="B50" s="148" t="e">
        <f t="shared" si="3"/>
        <v>#REF!</v>
      </c>
      <c r="C50" s="148" t="e">
        <f t="shared" si="3"/>
        <v>#REF!</v>
      </c>
      <c r="D50" s="982">
        <v>0</v>
      </c>
      <c r="E50" s="982">
        <v>0</v>
      </c>
      <c r="F50" s="982">
        <v>0</v>
      </c>
      <c r="G50" s="982">
        <v>0</v>
      </c>
      <c r="H50" s="982">
        <v>0</v>
      </c>
      <c r="I50" s="982">
        <v>0</v>
      </c>
      <c r="J50" s="982">
        <v>0</v>
      </c>
      <c r="K50" s="982">
        <v>0</v>
      </c>
      <c r="L50" s="982">
        <v>0</v>
      </c>
      <c r="M50" s="982">
        <f t="shared" si="4"/>
        <v>0</v>
      </c>
      <c r="N50" s="967">
        <v>0</v>
      </c>
      <c r="O50" s="977">
        <f t="shared" si="5"/>
        <v>0</v>
      </c>
    </row>
    <row r="51" spans="1:23" ht="14.4">
      <c r="A51" s="144" t="e">
        <f t="shared" si="3"/>
        <v>#REF!</v>
      </c>
      <c r="B51" s="602" t="e">
        <f t="shared" si="3"/>
        <v>#REF!</v>
      </c>
      <c r="C51" s="602" t="e">
        <f t="shared" si="3"/>
        <v>#REF!</v>
      </c>
      <c r="D51" s="982">
        <v>0</v>
      </c>
      <c r="E51" s="982">
        <v>0</v>
      </c>
      <c r="F51" s="1050">
        <v>0</v>
      </c>
      <c r="G51" s="982">
        <v>0</v>
      </c>
      <c r="H51" s="982">
        <v>0</v>
      </c>
      <c r="I51" s="982">
        <v>0</v>
      </c>
      <c r="J51" s="982">
        <v>0</v>
      </c>
      <c r="K51" s="982">
        <v>0</v>
      </c>
      <c r="L51" s="982">
        <v>0</v>
      </c>
      <c r="M51" s="982">
        <f t="shared" si="4"/>
        <v>0</v>
      </c>
      <c r="N51" s="967">
        <v>0</v>
      </c>
      <c r="O51" s="985">
        <f>M51-N53</f>
        <v>0</v>
      </c>
    </row>
    <row r="52" spans="1:23" ht="18.350000000000001">
      <c r="A52" s="1803" t="s">
        <v>393</v>
      </c>
      <c r="B52" s="1804"/>
      <c r="C52" s="1805"/>
      <c r="D52" s="1804"/>
      <c r="E52" s="1804"/>
      <c r="F52" s="1804"/>
      <c r="G52" s="1804"/>
      <c r="H52" s="1804"/>
      <c r="I52" s="1804"/>
      <c r="J52" s="1804"/>
      <c r="K52" s="1804"/>
      <c r="L52" s="1804"/>
      <c r="M52" s="1804"/>
      <c r="N52" s="1804"/>
      <c r="O52" s="1806"/>
      <c r="P52" s="208"/>
      <c r="Q52" s="89"/>
      <c r="R52" s="89"/>
      <c r="S52" s="89"/>
      <c r="T52" s="89"/>
      <c r="U52" s="89"/>
      <c r="V52" s="89"/>
      <c r="W52" s="89"/>
    </row>
    <row r="53" spans="1:23" ht="14.4">
      <c r="A53" s="137" t="e">
        <f>A51+1</f>
        <v>#REF!</v>
      </c>
      <c r="B53" s="1167" t="e">
        <f>B51+1</f>
        <v>#REF!</v>
      </c>
      <c r="C53" s="71" t="e">
        <f>C51+1</f>
        <v>#REF!</v>
      </c>
      <c r="D53" s="1284">
        <v>0</v>
      </c>
      <c r="E53" s="982">
        <v>0</v>
      </c>
      <c r="F53" s="982">
        <v>0</v>
      </c>
      <c r="G53" s="982">
        <v>0</v>
      </c>
      <c r="H53" s="982">
        <v>0</v>
      </c>
      <c r="I53" s="982">
        <v>0</v>
      </c>
      <c r="J53" s="982">
        <v>0</v>
      </c>
      <c r="K53" s="982">
        <v>0</v>
      </c>
      <c r="L53" s="982">
        <v>0</v>
      </c>
      <c r="M53" s="982">
        <f>SUM(D53+E54+F53+G53+H53+I53+J53+L53)</f>
        <v>0</v>
      </c>
      <c r="N53" s="967">
        <v>0</v>
      </c>
      <c r="O53" s="977">
        <f>M53-N54</f>
        <v>0</v>
      </c>
    </row>
    <row r="54" spans="1:23" ht="13.1" customHeight="1">
      <c r="A54" s="137" t="e">
        <f t="shared" ref="A54:C56" si="6">A53+1</f>
        <v>#REF!</v>
      </c>
      <c r="B54" s="706" t="e">
        <f t="shared" si="6"/>
        <v>#REF!</v>
      </c>
      <c r="C54" s="706" t="e">
        <f t="shared" si="6"/>
        <v>#REF!</v>
      </c>
      <c r="D54" s="1284">
        <v>0</v>
      </c>
      <c r="E54" s="982">
        <v>0</v>
      </c>
      <c r="F54" s="982">
        <v>0</v>
      </c>
      <c r="G54" s="982">
        <v>0</v>
      </c>
      <c r="H54" s="982">
        <v>0</v>
      </c>
      <c r="I54" s="982">
        <v>0</v>
      </c>
      <c r="J54" s="982">
        <v>0</v>
      </c>
      <c r="K54" s="982">
        <v>0</v>
      </c>
      <c r="L54" s="982">
        <v>0</v>
      </c>
      <c r="M54" s="982">
        <f>SUM(D54+E55+F54+G54+H54+I54+J54+L54)</f>
        <v>0</v>
      </c>
      <c r="N54" s="967">
        <v>0</v>
      </c>
      <c r="O54" s="977">
        <f>M54-N54</f>
        <v>0</v>
      </c>
    </row>
    <row r="55" spans="1:23" ht="13.1" customHeight="1">
      <c r="A55" s="137" t="e">
        <f t="shared" si="6"/>
        <v>#REF!</v>
      </c>
      <c r="B55" s="706" t="e">
        <f t="shared" si="6"/>
        <v>#REF!</v>
      </c>
      <c r="C55" s="706" t="e">
        <f t="shared" si="6"/>
        <v>#REF!</v>
      </c>
      <c r="D55" s="1284">
        <v>0</v>
      </c>
      <c r="E55" s="982">
        <v>0</v>
      </c>
      <c r="F55" s="982">
        <v>0</v>
      </c>
      <c r="G55" s="982">
        <v>0</v>
      </c>
      <c r="H55" s="982">
        <v>0</v>
      </c>
      <c r="I55" s="982">
        <v>0</v>
      </c>
      <c r="J55" s="982">
        <v>0</v>
      </c>
      <c r="K55" s="982">
        <v>0</v>
      </c>
      <c r="L55" s="982">
        <v>0</v>
      </c>
      <c r="M55" s="982">
        <f t="shared" si="4"/>
        <v>0</v>
      </c>
      <c r="N55" s="967">
        <v>0</v>
      </c>
      <c r="O55" s="977">
        <f t="shared" ref="O55:O56" si="7">M55-N55</f>
        <v>0</v>
      </c>
    </row>
    <row r="56" spans="1:23" ht="13.1" customHeight="1">
      <c r="A56" s="137" t="e">
        <f t="shared" si="6"/>
        <v>#REF!</v>
      </c>
      <c r="B56" s="706" t="e">
        <f t="shared" si="6"/>
        <v>#REF!</v>
      </c>
      <c r="C56" s="706" t="e">
        <f t="shared" si="6"/>
        <v>#REF!</v>
      </c>
      <c r="D56" s="1284">
        <v>0</v>
      </c>
      <c r="E56" s="982">
        <v>0</v>
      </c>
      <c r="F56" s="982">
        <v>0</v>
      </c>
      <c r="G56" s="982">
        <v>0</v>
      </c>
      <c r="H56" s="982">
        <v>0</v>
      </c>
      <c r="I56" s="982">
        <v>0</v>
      </c>
      <c r="J56" s="982">
        <v>0</v>
      </c>
      <c r="K56" s="982">
        <v>0</v>
      </c>
      <c r="L56" s="982">
        <v>0</v>
      </c>
      <c r="M56" s="982">
        <f t="shared" si="4"/>
        <v>0</v>
      </c>
      <c r="N56" s="967">
        <v>0</v>
      </c>
      <c r="O56" s="977">
        <f t="shared" si="7"/>
        <v>0</v>
      </c>
    </row>
    <row r="57" spans="1:23" ht="12.45">
      <c r="A57" s="1537"/>
      <c r="B57" s="1537"/>
      <c r="C57" s="1537"/>
      <c r="D57" s="1537"/>
      <c r="E57" s="1537"/>
      <c r="F57" s="1537"/>
      <c r="G57" s="1537"/>
      <c r="H57" s="1537"/>
      <c r="I57" s="1537"/>
      <c r="J57" s="1537"/>
      <c r="K57" s="1537"/>
      <c r="L57" s="1537"/>
      <c r="M57" s="1537"/>
      <c r="N57" s="1537"/>
      <c r="O57" s="1538"/>
    </row>
    <row r="58" spans="1:23" ht="23.6">
      <c r="A58" s="1775" t="s">
        <v>69</v>
      </c>
      <c r="B58" s="1775"/>
      <c r="C58" s="1775"/>
      <c r="D58" s="1775"/>
      <c r="E58" s="1775"/>
      <c r="F58" s="1775"/>
      <c r="G58" s="1775"/>
      <c r="H58" s="1775"/>
      <c r="I58" s="1775"/>
      <c r="J58" s="1775"/>
      <c r="K58" s="1775"/>
      <c r="L58" s="1775"/>
      <c r="M58" s="1775"/>
      <c r="N58" s="1775"/>
      <c r="O58" s="1775"/>
    </row>
    <row r="60" spans="1:23">
      <c r="A60" s="1540" t="s">
        <v>394</v>
      </c>
      <c r="B60" s="1540"/>
      <c r="C60" s="1540"/>
      <c r="D60" s="1540"/>
      <c r="E60" s="1540"/>
      <c r="F60" s="1540"/>
      <c r="G60" s="1540"/>
      <c r="H60" s="1540"/>
      <c r="I60" s="1540"/>
      <c r="J60" s="1540"/>
      <c r="K60" s="1540"/>
      <c r="L60" s="1540"/>
      <c r="M60" s="1540"/>
      <c r="N60" s="1540"/>
      <c r="O60" s="1540"/>
    </row>
    <row r="61" spans="1:23" ht="12.45">
      <c r="A61" s="1540" t="s">
        <v>71</v>
      </c>
      <c r="B61" s="1540"/>
      <c r="C61" s="1540"/>
      <c r="D61" s="1540"/>
      <c r="E61" s="1540"/>
      <c r="F61" s="1540"/>
      <c r="G61" s="1540"/>
      <c r="H61" s="1540"/>
      <c r="I61" s="1540"/>
      <c r="J61" s="1540"/>
      <c r="K61" s="1540"/>
      <c r="L61" s="1540"/>
      <c r="M61" s="1540"/>
      <c r="N61" s="1540"/>
      <c r="O61" s="1540"/>
    </row>
  </sheetData>
  <mergeCells count="32">
    <mergeCell ref="A61:O61"/>
    <mergeCell ref="A44:O44"/>
    <mergeCell ref="A45:O45"/>
    <mergeCell ref="A47:O47"/>
    <mergeCell ref="A52:O52"/>
    <mergeCell ref="A57:O57"/>
    <mergeCell ref="A58:O58"/>
    <mergeCell ref="A12:C12"/>
    <mergeCell ref="G12:H12"/>
    <mergeCell ref="J12:O12"/>
    <mergeCell ref="A20:C20"/>
    <mergeCell ref="A60:O60"/>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W62"/>
  <sheetViews>
    <sheetView showGridLines="0" workbookViewId="0">
      <selection sqref="A1:D1"/>
    </sheetView>
  </sheetViews>
  <sheetFormatPr defaultColWidth="9.125" defaultRowHeight="13.1"/>
  <cols>
    <col min="1" max="1" width="7.625" style="89" customWidth="1"/>
    <col min="2" max="2" width="7.25" style="208" customWidth="1"/>
    <col min="3" max="3" width="13.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81" t="s">
        <v>369</v>
      </c>
      <c r="B1" s="1782"/>
      <c r="C1" s="1782"/>
      <c r="D1" s="1783"/>
      <c r="E1" s="1018" t="s">
        <v>42</v>
      </c>
      <c r="F1" s="1784" t="s">
        <v>370</v>
      </c>
      <c r="G1" s="1785"/>
      <c r="H1" s="1786"/>
      <c r="I1" s="1018" t="s">
        <v>44</v>
      </c>
      <c r="J1" s="1787" t="s">
        <v>371</v>
      </c>
      <c r="K1" s="1785"/>
      <c r="L1" s="1786"/>
      <c r="M1" s="208"/>
    </row>
    <row r="2" spans="1:23" ht="15.05">
      <c r="A2" s="1069"/>
      <c r="B2" s="588"/>
      <c r="C2" s="588"/>
      <c r="D2" s="588"/>
      <c r="E2" s="1070"/>
      <c r="F2" s="192"/>
      <c r="G2" s="192"/>
      <c r="H2" s="192"/>
      <c r="I2" s="1070"/>
      <c r="J2" s="1071"/>
      <c r="K2" s="1072"/>
      <c r="L2" s="192"/>
      <c r="M2" s="208"/>
    </row>
    <row r="3" spans="1:23" ht="15.05">
      <c r="B3" s="89"/>
      <c r="C3" s="89"/>
      <c r="E3" s="1012" t="s">
        <v>372</v>
      </c>
      <c r="F3" s="1161">
        <v>21807</v>
      </c>
      <c r="G3" s="1168">
        <v>64</v>
      </c>
      <c r="H3" s="1012" t="s">
        <v>411</v>
      </c>
      <c r="I3" s="1168">
        <v>67</v>
      </c>
      <c r="J3" s="1016">
        <f>I3-G3</f>
        <v>3</v>
      </c>
      <c r="K3" s="1033" t="s">
        <v>47</v>
      </c>
      <c r="L3" s="192"/>
      <c r="Q3" s="89"/>
    </row>
    <row r="4" spans="1:23" ht="17.7">
      <c r="C4" s="1173">
        <f ca="1">TODAY()</f>
        <v>46198</v>
      </c>
      <c r="E4" s="1159">
        <v>0</v>
      </c>
      <c r="F4" s="1160">
        <v>0</v>
      </c>
      <c r="G4" s="1162">
        <v>0</v>
      </c>
      <c r="H4" s="1159">
        <v>0</v>
      </c>
      <c r="I4" s="1162">
        <v>0</v>
      </c>
      <c r="J4" s="971">
        <f>I4-G4</f>
        <v>0</v>
      </c>
      <c r="K4" s="1159" t="s">
        <v>47</v>
      </c>
    </row>
    <row r="5" spans="1:23" ht="20.3">
      <c r="C5" s="970">
        <v>2020</v>
      </c>
      <c r="D5" s="192"/>
      <c r="E5" s="925"/>
      <c r="F5" s="925"/>
      <c r="G5" s="925"/>
      <c r="H5" s="192"/>
      <c r="I5" s="969"/>
      <c r="J5" s="192"/>
      <c r="K5" s="192"/>
      <c r="L5" s="969"/>
      <c r="M5" s="371"/>
      <c r="N5" s="192"/>
      <c r="P5" s="89"/>
      <c r="Q5" s="89"/>
      <c r="R5" s="89"/>
      <c r="S5" s="89"/>
      <c r="T5" s="89"/>
      <c r="U5" s="89"/>
      <c r="V5" s="89"/>
      <c r="W5" s="89"/>
    </row>
    <row r="6" spans="1:23" ht="17.7">
      <c r="A6" s="1788" t="s">
        <v>375</v>
      </c>
      <c r="B6" s="1789"/>
      <c r="C6" s="1790"/>
      <c r="D6" s="1169">
        <v>61500</v>
      </c>
      <c r="E6" s="1791" t="s">
        <v>376</v>
      </c>
      <c r="F6" s="1741"/>
      <c r="G6" s="1015">
        <v>61500</v>
      </c>
      <c r="H6" s="968" t="s">
        <v>377</v>
      </c>
      <c r="J6" s="968" t="s">
        <v>377</v>
      </c>
      <c r="K6" s="974"/>
      <c r="N6" s="16"/>
      <c r="O6" s="16"/>
      <c r="P6" s="89"/>
      <c r="Q6" s="89"/>
      <c r="R6" s="89"/>
      <c r="S6" s="89"/>
      <c r="T6" s="89"/>
      <c r="U6" s="89"/>
      <c r="V6" s="89"/>
      <c r="W6" s="89"/>
    </row>
    <row r="7" spans="1:23" ht="17.7">
      <c r="A7" s="1777" t="s">
        <v>378</v>
      </c>
      <c r="B7" s="1778"/>
      <c r="C7" s="1779"/>
      <c r="D7" s="1163">
        <v>0</v>
      </c>
      <c r="E7" s="1780" t="s">
        <v>379</v>
      </c>
      <c r="F7" s="1736"/>
      <c r="G7" s="1015">
        <f>D7*12</f>
        <v>0</v>
      </c>
      <c r="H7" s="968" t="s">
        <v>204</v>
      </c>
      <c r="I7" s="1015">
        <f>G6+G7</f>
        <v>61500</v>
      </c>
      <c r="J7" s="968" t="s">
        <v>380</v>
      </c>
      <c r="K7" s="972">
        <f>G6+G7</f>
        <v>61500</v>
      </c>
      <c r="O7" s="16"/>
      <c r="P7" s="89"/>
      <c r="Q7" s="89"/>
      <c r="R7" s="89"/>
      <c r="S7" s="89"/>
      <c r="T7" s="89"/>
      <c r="U7" s="89"/>
      <c r="V7" s="89"/>
      <c r="W7" s="89"/>
    </row>
    <row r="10" spans="1:23" ht="17.7">
      <c r="A10" s="1524" t="s">
        <v>381</v>
      </c>
      <c r="B10" s="1524"/>
      <c r="C10" s="1524"/>
      <c r="D10" s="1524"/>
      <c r="E10" s="1010">
        <v>4166.67</v>
      </c>
      <c r="F10" s="965" t="s">
        <v>51</v>
      </c>
      <c r="G10" s="966">
        <f>E10*12</f>
        <v>50000.04</v>
      </c>
      <c r="H10" s="192"/>
      <c r="I10" s="973">
        <v>50000</v>
      </c>
      <c r="J10" s="1734"/>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8" customHeight="1">
      <c r="A12" s="1742" t="s">
        <v>383</v>
      </c>
      <c r="B12" s="1743"/>
      <c r="C12" s="1744"/>
      <c r="D12" s="1170">
        <v>2991</v>
      </c>
      <c r="E12" s="1013" t="s">
        <v>12</v>
      </c>
      <c r="F12" s="1013">
        <v>67</v>
      </c>
      <c r="G12" s="1745" t="s">
        <v>54</v>
      </c>
      <c r="H12" s="1746"/>
      <c r="I12" s="1021">
        <f>D12*12</f>
        <v>35892</v>
      </c>
      <c r="J12" s="1553" t="s">
        <v>55</v>
      </c>
      <c r="K12" s="1553"/>
      <c r="L12" s="1553"/>
      <c r="M12" s="1553"/>
      <c r="N12" s="1553"/>
      <c r="O12" s="1553"/>
    </row>
    <row r="13" spans="1:23" ht="17.7">
      <c r="A13" s="1796">
        <v>0</v>
      </c>
      <c r="B13" s="1757"/>
      <c r="C13" s="1758"/>
      <c r="D13" s="1171">
        <v>0</v>
      </c>
      <c r="E13" s="1164">
        <v>67</v>
      </c>
      <c r="F13" s="1164">
        <v>67</v>
      </c>
      <c r="G13" s="1759" t="s">
        <v>54</v>
      </c>
      <c r="H13" s="1760"/>
      <c r="I13" s="973">
        <f>D13*12</f>
        <v>0</v>
      </c>
      <c r="J13" s="1552" t="s">
        <v>412</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541" t="s">
        <v>385</v>
      </c>
      <c r="B15" s="1541"/>
      <c r="C15" s="1541"/>
      <c r="D15" s="1541"/>
      <c r="E15" s="1541"/>
      <c r="F15" s="1541"/>
      <c r="G15" s="1541"/>
      <c r="H15" s="1541"/>
      <c r="I15" s="1541"/>
      <c r="J15" s="1541"/>
      <c r="K15" s="1541"/>
      <c r="L15" s="1541"/>
      <c r="M15" s="1541"/>
      <c r="N15" s="1541"/>
      <c r="O15" s="1542"/>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110"/>
      <c r="B17" s="1110"/>
      <c r="C17" s="1110"/>
      <c r="D17" s="1027" t="s">
        <v>413</v>
      </c>
      <c r="E17" s="36"/>
      <c r="F17" s="36"/>
      <c r="G17" s="36"/>
      <c r="H17" s="36"/>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005"/>
      <c r="G19" s="1006"/>
      <c r="H19" s="1154"/>
      <c r="I19" s="1154"/>
      <c r="J19" s="1154"/>
      <c r="K19" s="1154"/>
      <c r="L19" s="1154"/>
      <c r="M19" s="992"/>
      <c r="N19" s="992"/>
      <c r="O19" s="993"/>
    </row>
    <row r="20" spans="1:23">
      <c r="A20" s="1811"/>
      <c r="B20" s="1811"/>
      <c r="C20" s="1812"/>
      <c r="D20" s="976">
        <f>F12</f>
        <v>67</v>
      </c>
      <c r="E20" s="976"/>
      <c r="F20" s="976"/>
      <c r="G20" s="976"/>
      <c r="H20" s="1155"/>
      <c r="I20" s="1105"/>
      <c r="J20" s="1105"/>
      <c r="K20" s="1105"/>
      <c r="L20" s="1105"/>
      <c r="M20" s="990"/>
      <c r="N20" s="989"/>
      <c r="O20" s="994"/>
    </row>
    <row r="21" spans="1:23" ht="16.05" customHeight="1">
      <c r="A21" s="1749" t="s">
        <v>26</v>
      </c>
      <c r="B21" s="1813" t="s">
        <v>390</v>
      </c>
      <c r="C21" s="1753" t="s">
        <v>59</v>
      </c>
      <c r="D21" s="975">
        <f>I12</f>
        <v>35892</v>
      </c>
      <c r="E21" s="975"/>
      <c r="F21" s="975"/>
      <c r="G21" s="975"/>
      <c r="H21" s="975"/>
      <c r="I21" s="975"/>
      <c r="J21" s="975"/>
      <c r="K21" s="975"/>
      <c r="L21" s="975"/>
      <c r="M21" s="990"/>
      <c r="N21" s="989"/>
      <c r="O21" s="994"/>
    </row>
    <row r="22" spans="1:23" ht="16.05" customHeight="1">
      <c r="A22" s="1750"/>
      <c r="B22" s="1814"/>
      <c r="C22" s="1754"/>
      <c r="D22" s="1651"/>
      <c r="E22" s="1651"/>
      <c r="F22" s="1651"/>
      <c r="G22" s="1651"/>
      <c r="H22" s="1651"/>
      <c r="I22" s="1651"/>
      <c r="J22" s="1651"/>
      <c r="K22" s="1651"/>
      <c r="L22" s="1755"/>
      <c r="M22" s="991"/>
      <c r="N22" s="208"/>
      <c r="O22" s="995"/>
    </row>
    <row r="23" spans="1:23" ht="15.05">
      <c r="A23" s="979" t="s">
        <v>415</v>
      </c>
      <c r="B23" s="604">
        <v>65</v>
      </c>
      <c r="C23" s="148">
        <v>0</v>
      </c>
      <c r="D23" s="982">
        <v>0</v>
      </c>
      <c r="E23" s="982">
        <v>0</v>
      </c>
      <c r="F23" s="982">
        <v>0</v>
      </c>
      <c r="G23" s="1111">
        <v>0</v>
      </c>
      <c r="H23" s="982">
        <v>0</v>
      </c>
      <c r="I23" s="982">
        <v>0</v>
      </c>
      <c r="J23" s="982">
        <v>0</v>
      </c>
      <c r="K23" s="982">
        <v>0</v>
      </c>
      <c r="L23" s="982">
        <v>0</v>
      </c>
      <c r="M23" s="980">
        <f>D23+E23+F23+G23+H23+I23+J23+K23+L23</f>
        <v>0</v>
      </c>
      <c r="N23" s="1198">
        <f>I10</f>
        <v>50000</v>
      </c>
      <c r="O23" s="1157">
        <f>M23-N24</f>
        <v>-50000</v>
      </c>
    </row>
    <row r="24" spans="1:23" ht="14.4">
      <c r="A24" s="119">
        <f t="shared" ref="A24:C39" si="0">A23+1</f>
        <v>2025</v>
      </c>
      <c r="B24" s="602">
        <f t="shared" si="0"/>
        <v>66</v>
      </c>
      <c r="C24" s="603">
        <f t="shared" si="0"/>
        <v>1</v>
      </c>
      <c r="D24" s="982">
        <v>0</v>
      </c>
      <c r="E24" s="982">
        <v>0</v>
      </c>
      <c r="F24" s="982">
        <v>0</v>
      </c>
      <c r="G24" s="1111">
        <v>0</v>
      </c>
      <c r="H24" s="982">
        <v>0</v>
      </c>
      <c r="I24" s="982">
        <v>0</v>
      </c>
      <c r="J24" s="982">
        <v>0</v>
      </c>
      <c r="K24" s="982">
        <v>0</v>
      </c>
      <c r="L24" s="982">
        <v>0</v>
      </c>
      <c r="M24" s="980">
        <f t="shared" ref="M24:M40" si="1">D24+E24+F24+G24+H24+I24+J24+K24+L24</f>
        <v>0</v>
      </c>
      <c r="N24" s="967">
        <f>I10</f>
        <v>50000</v>
      </c>
      <c r="O24" s="977">
        <f t="shared" ref="O24:O51" si="2">M24-N25</f>
        <v>-50000</v>
      </c>
    </row>
    <row r="25" spans="1:23" ht="14.4">
      <c r="A25" s="155">
        <f t="shared" si="0"/>
        <v>2026</v>
      </c>
      <c r="B25" s="1281">
        <f t="shared" si="0"/>
        <v>67</v>
      </c>
      <c r="C25" s="148">
        <f t="shared" si="0"/>
        <v>2</v>
      </c>
      <c r="D25" s="982">
        <v>35892</v>
      </c>
      <c r="E25" s="982">
        <v>0</v>
      </c>
      <c r="F25" s="982">
        <v>0</v>
      </c>
      <c r="G25" s="1111">
        <v>0</v>
      </c>
      <c r="H25" s="982">
        <v>0</v>
      </c>
      <c r="I25" s="982">
        <v>0</v>
      </c>
      <c r="J25" s="982">
        <v>0</v>
      </c>
      <c r="K25" s="982">
        <v>0</v>
      </c>
      <c r="L25" s="982">
        <v>0</v>
      </c>
      <c r="M25" s="980">
        <f t="shared" si="1"/>
        <v>35892</v>
      </c>
      <c r="N25" s="967">
        <f>I10</f>
        <v>50000</v>
      </c>
      <c r="O25" s="977">
        <f t="shared" si="2"/>
        <v>-14108</v>
      </c>
    </row>
    <row r="26" spans="1:23" ht="14.4">
      <c r="A26" s="119">
        <f t="shared" si="0"/>
        <v>2027</v>
      </c>
      <c r="B26" s="706">
        <f t="shared" si="0"/>
        <v>68</v>
      </c>
      <c r="C26" s="706">
        <f t="shared" si="0"/>
        <v>3</v>
      </c>
      <c r="D26" s="982">
        <f>D25*1.02</f>
        <v>36609.840000000004</v>
      </c>
      <c r="E26" s="982">
        <v>0</v>
      </c>
      <c r="F26" s="982">
        <v>0</v>
      </c>
      <c r="G26" s="1111">
        <v>0</v>
      </c>
      <c r="H26" s="982">
        <v>0</v>
      </c>
      <c r="I26" s="982">
        <v>0</v>
      </c>
      <c r="J26" s="982">
        <v>0</v>
      </c>
      <c r="K26" s="982">
        <v>0</v>
      </c>
      <c r="L26" s="982">
        <v>0</v>
      </c>
      <c r="M26" s="980">
        <f t="shared" si="1"/>
        <v>36609.840000000004</v>
      </c>
      <c r="N26" s="967">
        <f>I10</f>
        <v>50000</v>
      </c>
      <c r="O26" s="977">
        <f t="shared" si="2"/>
        <v>-13390.159999999996</v>
      </c>
    </row>
    <row r="27" spans="1:23" ht="14.4">
      <c r="A27" s="119">
        <f t="shared" si="0"/>
        <v>2028</v>
      </c>
      <c r="B27" s="148">
        <f t="shared" si="0"/>
        <v>69</v>
      </c>
      <c r="C27" s="148">
        <f t="shared" si="0"/>
        <v>4</v>
      </c>
      <c r="D27" s="982">
        <f t="shared" ref="D27:D44" si="3">D26*1.02</f>
        <v>37342.036800000002</v>
      </c>
      <c r="E27" s="982">
        <v>0</v>
      </c>
      <c r="F27" s="982">
        <v>0</v>
      </c>
      <c r="G27" s="1111">
        <v>0</v>
      </c>
      <c r="H27" s="982">
        <v>0</v>
      </c>
      <c r="I27" s="982">
        <v>0</v>
      </c>
      <c r="J27" s="982">
        <v>0</v>
      </c>
      <c r="K27" s="982">
        <v>0</v>
      </c>
      <c r="L27" s="982">
        <v>0</v>
      </c>
      <c r="M27" s="980">
        <f t="shared" si="1"/>
        <v>37342.036800000002</v>
      </c>
      <c r="N27" s="967">
        <f>I10</f>
        <v>50000</v>
      </c>
      <c r="O27" s="977">
        <f t="shared" si="2"/>
        <v>-12657.963199999998</v>
      </c>
    </row>
    <row r="28" spans="1:23" ht="14.4">
      <c r="A28" s="119">
        <f t="shared" si="0"/>
        <v>2029</v>
      </c>
      <c r="B28" s="602">
        <f t="shared" si="0"/>
        <v>70</v>
      </c>
      <c r="C28" s="602">
        <f t="shared" si="0"/>
        <v>5</v>
      </c>
      <c r="D28" s="982">
        <f t="shared" si="3"/>
        <v>38088.877536</v>
      </c>
      <c r="E28" s="982">
        <v>0</v>
      </c>
      <c r="F28" s="982">
        <v>0</v>
      </c>
      <c r="G28" s="1111">
        <v>0</v>
      </c>
      <c r="H28" s="982">
        <v>0</v>
      </c>
      <c r="I28" s="982">
        <v>0</v>
      </c>
      <c r="J28" s="982">
        <v>0</v>
      </c>
      <c r="K28" s="982">
        <v>0</v>
      </c>
      <c r="L28" s="982">
        <v>0</v>
      </c>
      <c r="M28" s="980">
        <f t="shared" si="1"/>
        <v>38088.877536</v>
      </c>
      <c r="N28" s="967">
        <f>I10</f>
        <v>50000</v>
      </c>
      <c r="O28" s="977">
        <f t="shared" si="2"/>
        <v>-11911.122464</v>
      </c>
    </row>
    <row r="29" spans="1:23" ht="14.4">
      <c r="A29" s="155">
        <f t="shared" si="0"/>
        <v>2030</v>
      </c>
      <c r="B29" s="148">
        <f t="shared" si="0"/>
        <v>71</v>
      </c>
      <c r="C29" s="148">
        <f t="shared" si="0"/>
        <v>6</v>
      </c>
      <c r="D29" s="982">
        <f t="shared" si="3"/>
        <v>38850.655086719999</v>
      </c>
      <c r="E29" s="982">
        <v>0</v>
      </c>
      <c r="F29" s="982">
        <v>0</v>
      </c>
      <c r="G29" s="1111">
        <v>0</v>
      </c>
      <c r="H29" s="982">
        <v>0</v>
      </c>
      <c r="I29" s="982">
        <v>0</v>
      </c>
      <c r="J29" s="982">
        <v>0</v>
      </c>
      <c r="K29" s="982">
        <v>0</v>
      </c>
      <c r="L29" s="982">
        <v>0</v>
      </c>
      <c r="M29" s="980">
        <f t="shared" si="1"/>
        <v>38850.655086719999</v>
      </c>
      <c r="N29" s="967">
        <f>I10</f>
        <v>50000</v>
      </c>
      <c r="O29" s="977">
        <f t="shared" si="2"/>
        <v>-11149.344913280001</v>
      </c>
    </row>
    <row r="30" spans="1:23" ht="14.4">
      <c r="A30" s="119">
        <f t="shared" si="0"/>
        <v>2031</v>
      </c>
      <c r="B30" s="706">
        <f t="shared" si="0"/>
        <v>72</v>
      </c>
      <c r="C30" s="706">
        <f t="shared" si="0"/>
        <v>7</v>
      </c>
      <c r="D30" s="982">
        <f t="shared" si="3"/>
        <v>39627.668188454401</v>
      </c>
      <c r="E30" s="982">
        <v>0</v>
      </c>
      <c r="F30" s="982">
        <v>0</v>
      </c>
      <c r="G30" s="1111">
        <v>0</v>
      </c>
      <c r="H30" s="982">
        <v>0</v>
      </c>
      <c r="I30" s="982">
        <v>0</v>
      </c>
      <c r="J30" s="982">
        <v>0</v>
      </c>
      <c r="K30" s="982">
        <v>0</v>
      </c>
      <c r="L30" s="982">
        <v>0</v>
      </c>
      <c r="M30" s="980">
        <f t="shared" si="1"/>
        <v>39627.668188454401</v>
      </c>
      <c r="N30" s="967">
        <f>I10</f>
        <v>50000</v>
      </c>
      <c r="O30" s="977">
        <f t="shared" si="2"/>
        <v>-10372.331811545599</v>
      </c>
    </row>
    <row r="31" spans="1:23" ht="14.4">
      <c r="A31" s="119">
        <f t="shared" si="0"/>
        <v>2032</v>
      </c>
      <c r="B31" s="148">
        <f t="shared" si="0"/>
        <v>73</v>
      </c>
      <c r="C31" s="148">
        <f t="shared" si="0"/>
        <v>8</v>
      </c>
      <c r="D31" s="982">
        <f t="shared" si="3"/>
        <v>40420.221552223491</v>
      </c>
      <c r="E31" s="982">
        <v>0</v>
      </c>
      <c r="F31" s="982">
        <v>0</v>
      </c>
      <c r="G31" s="1111">
        <v>0</v>
      </c>
      <c r="H31" s="982">
        <v>0</v>
      </c>
      <c r="I31" s="982">
        <v>0</v>
      </c>
      <c r="J31" s="982">
        <v>0</v>
      </c>
      <c r="K31" s="982">
        <v>0</v>
      </c>
      <c r="L31" s="982">
        <v>0</v>
      </c>
      <c r="M31" s="980">
        <f t="shared" si="1"/>
        <v>40420.221552223491</v>
      </c>
      <c r="N31" s="967">
        <f>I10</f>
        <v>50000</v>
      </c>
      <c r="O31" s="977">
        <f t="shared" si="2"/>
        <v>-9579.778447776509</v>
      </c>
    </row>
    <row r="32" spans="1:23" ht="14.4">
      <c r="A32" s="119">
        <f t="shared" si="0"/>
        <v>2033</v>
      </c>
      <c r="B32" s="148">
        <f t="shared" si="0"/>
        <v>74</v>
      </c>
      <c r="C32" s="148">
        <f t="shared" si="0"/>
        <v>9</v>
      </c>
      <c r="D32" s="982">
        <f t="shared" si="3"/>
        <v>41228.625983267964</v>
      </c>
      <c r="E32" s="982">
        <v>0</v>
      </c>
      <c r="F32" s="982">
        <v>0</v>
      </c>
      <c r="G32" s="1111">
        <v>0</v>
      </c>
      <c r="H32" s="982">
        <v>0</v>
      </c>
      <c r="I32" s="982">
        <v>0</v>
      </c>
      <c r="J32" s="982">
        <v>0</v>
      </c>
      <c r="K32" s="982">
        <v>0</v>
      </c>
      <c r="L32" s="982">
        <v>0</v>
      </c>
      <c r="M32" s="980">
        <f t="shared" si="1"/>
        <v>41228.625983267964</v>
      </c>
      <c r="N32" s="967">
        <f>I10</f>
        <v>50000</v>
      </c>
      <c r="O32" s="977">
        <f t="shared" si="2"/>
        <v>-8771.3740167320357</v>
      </c>
    </row>
    <row r="33" spans="1:15" ht="14.4">
      <c r="A33" s="119">
        <f t="shared" si="0"/>
        <v>2034</v>
      </c>
      <c r="B33" s="148">
        <f t="shared" si="0"/>
        <v>75</v>
      </c>
      <c r="C33" s="148">
        <f t="shared" si="0"/>
        <v>10</v>
      </c>
      <c r="D33" s="982">
        <f t="shared" si="3"/>
        <v>42053.198502933323</v>
      </c>
      <c r="E33" s="982">
        <v>0</v>
      </c>
      <c r="F33" s="982">
        <v>0</v>
      </c>
      <c r="G33" s="1111">
        <v>0</v>
      </c>
      <c r="H33" s="982">
        <v>0</v>
      </c>
      <c r="I33" s="982">
        <v>0</v>
      </c>
      <c r="J33" s="982">
        <v>0</v>
      </c>
      <c r="K33" s="982">
        <v>0</v>
      </c>
      <c r="L33" s="982">
        <v>0</v>
      </c>
      <c r="M33" s="980">
        <f t="shared" si="1"/>
        <v>42053.198502933323</v>
      </c>
      <c r="N33" s="967">
        <f>I10</f>
        <v>50000</v>
      </c>
      <c r="O33" s="977">
        <f t="shared" si="2"/>
        <v>-7946.8014970666773</v>
      </c>
    </row>
    <row r="34" spans="1:15" ht="14.4">
      <c r="A34" s="119">
        <f t="shared" si="0"/>
        <v>2035</v>
      </c>
      <c r="B34" s="148">
        <f t="shared" si="0"/>
        <v>76</v>
      </c>
      <c r="C34" s="148">
        <f t="shared" si="0"/>
        <v>11</v>
      </c>
      <c r="D34" s="982">
        <f t="shared" si="3"/>
        <v>42894.262472991992</v>
      </c>
      <c r="E34" s="982">
        <v>0</v>
      </c>
      <c r="F34" s="982">
        <v>0</v>
      </c>
      <c r="G34" s="1111">
        <v>0</v>
      </c>
      <c r="H34" s="982">
        <v>0</v>
      </c>
      <c r="I34" s="982">
        <v>0</v>
      </c>
      <c r="J34" s="982">
        <v>0</v>
      </c>
      <c r="K34" s="982">
        <v>0</v>
      </c>
      <c r="L34" s="982">
        <v>0</v>
      </c>
      <c r="M34" s="980">
        <f t="shared" si="1"/>
        <v>42894.262472991992</v>
      </c>
      <c r="N34" s="967">
        <f>I10</f>
        <v>50000</v>
      </c>
      <c r="O34" s="977">
        <f t="shared" si="2"/>
        <v>-7105.7375270080083</v>
      </c>
    </row>
    <row r="35" spans="1:15" ht="14.4">
      <c r="A35" s="119">
        <f t="shared" si="0"/>
        <v>2036</v>
      </c>
      <c r="B35" s="148">
        <f t="shared" si="0"/>
        <v>77</v>
      </c>
      <c r="C35" s="148">
        <f t="shared" si="0"/>
        <v>12</v>
      </c>
      <c r="D35" s="982">
        <f t="shared" si="3"/>
        <v>43752.147722451831</v>
      </c>
      <c r="E35" s="982">
        <v>0</v>
      </c>
      <c r="F35" s="982">
        <v>0</v>
      </c>
      <c r="G35" s="1111">
        <v>0</v>
      </c>
      <c r="H35" s="982">
        <v>0</v>
      </c>
      <c r="I35" s="982">
        <v>0</v>
      </c>
      <c r="J35" s="982">
        <v>0</v>
      </c>
      <c r="K35" s="982">
        <v>0</v>
      </c>
      <c r="L35" s="982">
        <v>0</v>
      </c>
      <c r="M35" s="980">
        <f t="shared" si="1"/>
        <v>43752.147722451831</v>
      </c>
      <c r="N35" s="967">
        <f>I10</f>
        <v>50000</v>
      </c>
      <c r="O35" s="977">
        <f t="shared" si="2"/>
        <v>-6247.8522775481688</v>
      </c>
    </row>
    <row r="36" spans="1:15" ht="14.4">
      <c r="A36" s="119">
        <f t="shared" si="0"/>
        <v>2037</v>
      </c>
      <c r="B36" s="148">
        <f t="shared" si="0"/>
        <v>78</v>
      </c>
      <c r="C36" s="148">
        <f t="shared" si="0"/>
        <v>13</v>
      </c>
      <c r="D36" s="982">
        <f t="shared" si="3"/>
        <v>44627.190676900871</v>
      </c>
      <c r="E36" s="982">
        <v>0</v>
      </c>
      <c r="F36" s="982">
        <v>0</v>
      </c>
      <c r="G36" s="1111">
        <v>0</v>
      </c>
      <c r="H36" s="982">
        <v>0</v>
      </c>
      <c r="I36" s="982">
        <v>0</v>
      </c>
      <c r="J36" s="982">
        <v>0</v>
      </c>
      <c r="K36" s="982">
        <v>0</v>
      </c>
      <c r="L36" s="982">
        <v>0</v>
      </c>
      <c r="M36" s="980">
        <f t="shared" si="1"/>
        <v>44627.190676900871</v>
      </c>
      <c r="N36" s="967">
        <f>I10</f>
        <v>50000</v>
      </c>
      <c r="O36" s="977">
        <f t="shared" si="2"/>
        <v>-5372.809323099129</v>
      </c>
    </row>
    <row r="37" spans="1:15" ht="14.4">
      <c r="A37" s="119">
        <f t="shared" si="0"/>
        <v>2038</v>
      </c>
      <c r="B37" s="148">
        <f t="shared" si="0"/>
        <v>79</v>
      </c>
      <c r="C37" s="148">
        <f t="shared" si="0"/>
        <v>14</v>
      </c>
      <c r="D37" s="982">
        <f t="shared" si="3"/>
        <v>45519.734490438888</v>
      </c>
      <c r="E37" s="982">
        <v>0</v>
      </c>
      <c r="F37" s="982">
        <v>0</v>
      </c>
      <c r="G37" s="1111">
        <v>0</v>
      </c>
      <c r="H37" s="982">
        <v>0</v>
      </c>
      <c r="I37" s="982">
        <v>0</v>
      </c>
      <c r="J37" s="982">
        <v>0</v>
      </c>
      <c r="K37" s="982">
        <v>0</v>
      </c>
      <c r="L37" s="982">
        <v>0</v>
      </c>
      <c r="M37" s="980">
        <f t="shared" si="1"/>
        <v>45519.734490438888</v>
      </c>
      <c r="N37" s="967">
        <f>I10</f>
        <v>50000</v>
      </c>
      <c r="O37" s="977">
        <f t="shared" si="2"/>
        <v>-4480.2655095611117</v>
      </c>
    </row>
    <row r="38" spans="1:15" ht="14.4">
      <c r="A38" s="155">
        <f t="shared" si="0"/>
        <v>2039</v>
      </c>
      <c r="B38" s="148">
        <f t="shared" si="0"/>
        <v>80</v>
      </c>
      <c r="C38" s="1165">
        <f t="shared" si="0"/>
        <v>15</v>
      </c>
      <c r="D38" s="982">
        <f t="shared" si="3"/>
        <v>46430.12918024767</v>
      </c>
      <c r="E38" s="982">
        <v>0</v>
      </c>
      <c r="F38" s="982">
        <v>0</v>
      </c>
      <c r="G38" s="1111">
        <v>0</v>
      </c>
      <c r="H38" s="982">
        <v>0</v>
      </c>
      <c r="I38" s="982">
        <v>0</v>
      </c>
      <c r="J38" s="982">
        <v>0</v>
      </c>
      <c r="K38" s="982">
        <v>0</v>
      </c>
      <c r="L38" s="982">
        <v>0</v>
      </c>
      <c r="M38" s="980">
        <f t="shared" si="1"/>
        <v>46430.12918024767</v>
      </c>
      <c r="N38" s="967">
        <f>I10</f>
        <v>50000</v>
      </c>
      <c r="O38" s="977">
        <f t="shared" si="2"/>
        <v>-3569.8708197523301</v>
      </c>
    </row>
    <row r="39" spans="1:15" ht="14.4">
      <c r="A39" s="119">
        <f t="shared" si="0"/>
        <v>2040</v>
      </c>
      <c r="B39" s="706">
        <f t="shared" si="0"/>
        <v>81</v>
      </c>
      <c r="C39" s="148">
        <f t="shared" si="0"/>
        <v>16</v>
      </c>
      <c r="D39" s="982">
        <f t="shared" si="3"/>
        <v>47358.731763852622</v>
      </c>
      <c r="E39" s="982">
        <v>0</v>
      </c>
      <c r="F39" s="982">
        <v>0</v>
      </c>
      <c r="G39" s="1111">
        <v>0</v>
      </c>
      <c r="H39" s="982">
        <v>0</v>
      </c>
      <c r="I39" s="982">
        <v>0</v>
      </c>
      <c r="J39" s="982">
        <v>0</v>
      </c>
      <c r="K39" s="982">
        <v>0</v>
      </c>
      <c r="L39" s="982">
        <v>0</v>
      </c>
      <c r="M39" s="980">
        <f t="shared" si="1"/>
        <v>47358.731763852622</v>
      </c>
      <c r="N39" s="967">
        <f>I10</f>
        <v>50000</v>
      </c>
      <c r="O39" s="977">
        <f t="shared" si="2"/>
        <v>-2641.268236147378</v>
      </c>
    </row>
    <row r="40" spans="1:15" ht="14.4">
      <c r="A40" s="119">
        <f t="shared" ref="A40:C52" si="4">A39+1</f>
        <v>2041</v>
      </c>
      <c r="B40" s="148">
        <f t="shared" si="4"/>
        <v>82</v>
      </c>
      <c r="C40" s="148">
        <f t="shared" si="4"/>
        <v>17</v>
      </c>
      <c r="D40" s="982">
        <f t="shared" si="3"/>
        <v>48305.906399129672</v>
      </c>
      <c r="E40" s="982">
        <v>0</v>
      </c>
      <c r="F40" s="982">
        <v>0</v>
      </c>
      <c r="G40" s="1111">
        <v>0</v>
      </c>
      <c r="H40" s="982">
        <v>0</v>
      </c>
      <c r="I40" s="982">
        <v>0</v>
      </c>
      <c r="J40" s="982">
        <v>0</v>
      </c>
      <c r="K40" s="982">
        <v>0</v>
      </c>
      <c r="L40" s="982">
        <v>0</v>
      </c>
      <c r="M40" s="980">
        <f t="shared" si="1"/>
        <v>48305.906399129672</v>
      </c>
      <c r="N40" s="967">
        <f>I10</f>
        <v>50000</v>
      </c>
      <c r="O40" s="977">
        <f>M40-N41</f>
        <v>-1694.0936008703284</v>
      </c>
    </row>
    <row r="41" spans="1:15" ht="14.4">
      <c r="A41" s="119">
        <f>A40+1</f>
        <v>2042</v>
      </c>
      <c r="B41" s="148">
        <f>B40+1</f>
        <v>83</v>
      </c>
      <c r="C41" s="148">
        <f>C40+1</f>
        <v>18</v>
      </c>
      <c r="D41" s="982">
        <f t="shared" si="3"/>
        <v>49272.024527112269</v>
      </c>
      <c r="E41" s="982">
        <v>0</v>
      </c>
      <c r="F41" s="982">
        <v>0</v>
      </c>
      <c r="G41" s="1111">
        <v>0</v>
      </c>
      <c r="H41" s="982">
        <v>0</v>
      </c>
      <c r="I41" s="982">
        <v>0</v>
      </c>
      <c r="J41" s="982">
        <v>0</v>
      </c>
      <c r="K41" s="982">
        <v>0</v>
      </c>
      <c r="L41" s="982">
        <v>0</v>
      </c>
      <c r="M41" s="981">
        <f t="shared" ref="M41:M57" si="5">SUM(D41+E41+F41+G41+H41+I41+J41+L41)</f>
        <v>49272.024527112269</v>
      </c>
      <c r="N41" s="967">
        <f>I10</f>
        <v>50000</v>
      </c>
      <c r="O41" s="977">
        <f t="shared" si="2"/>
        <v>-727.97547288773058</v>
      </c>
    </row>
    <row r="42" spans="1:15" ht="14.4">
      <c r="A42" s="119">
        <f t="shared" si="4"/>
        <v>2043</v>
      </c>
      <c r="B42" s="148">
        <f t="shared" si="4"/>
        <v>84</v>
      </c>
      <c r="C42" s="148">
        <f t="shared" si="4"/>
        <v>19</v>
      </c>
      <c r="D42" s="982">
        <f t="shared" si="3"/>
        <v>50257.465017654518</v>
      </c>
      <c r="E42" s="982">
        <v>0</v>
      </c>
      <c r="F42" s="982">
        <v>0</v>
      </c>
      <c r="G42" s="1111">
        <v>0</v>
      </c>
      <c r="H42" s="982">
        <v>0</v>
      </c>
      <c r="I42" s="982">
        <v>0</v>
      </c>
      <c r="J42" s="982">
        <v>0</v>
      </c>
      <c r="K42" s="982">
        <v>0</v>
      </c>
      <c r="L42" s="982">
        <v>0</v>
      </c>
      <c r="M42" s="982">
        <f t="shared" si="5"/>
        <v>50257.465017654518</v>
      </c>
      <c r="N42" s="967">
        <f>I10</f>
        <v>50000</v>
      </c>
      <c r="O42" s="977">
        <f t="shared" si="2"/>
        <v>257.46501765451831</v>
      </c>
    </row>
    <row r="43" spans="1:15" ht="14.4">
      <c r="A43" s="119">
        <f t="shared" si="4"/>
        <v>2044</v>
      </c>
      <c r="B43" s="148">
        <f t="shared" si="4"/>
        <v>85</v>
      </c>
      <c r="C43" s="148">
        <f t="shared" si="4"/>
        <v>20</v>
      </c>
      <c r="D43" s="982">
        <f t="shared" si="3"/>
        <v>51262.614318007611</v>
      </c>
      <c r="E43" s="982">
        <v>0</v>
      </c>
      <c r="F43" s="982">
        <v>0</v>
      </c>
      <c r="G43" s="1111">
        <v>0</v>
      </c>
      <c r="H43" s="982">
        <v>0</v>
      </c>
      <c r="I43" s="982">
        <v>0</v>
      </c>
      <c r="J43" s="982">
        <v>0</v>
      </c>
      <c r="K43" s="982">
        <v>0</v>
      </c>
      <c r="L43" s="982">
        <v>0</v>
      </c>
      <c r="M43" s="980">
        <f t="shared" si="5"/>
        <v>51262.614318007611</v>
      </c>
      <c r="N43" s="967">
        <f>I10</f>
        <v>50000</v>
      </c>
      <c r="O43" s="977">
        <f t="shared" si="2"/>
        <v>1262.6143180076106</v>
      </c>
    </row>
    <row r="44" spans="1:15" ht="14.4">
      <c r="A44" s="119">
        <f t="shared" si="4"/>
        <v>2045</v>
      </c>
      <c r="B44" s="148">
        <f t="shared" si="4"/>
        <v>86</v>
      </c>
      <c r="C44" s="148">
        <f t="shared" si="4"/>
        <v>21</v>
      </c>
      <c r="D44" s="982">
        <f t="shared" si="3"/>
        <v>52287.866604367766</v>
      </c>
      <c r="E44" s="982">
        <v>0</v>
      </c>
      <c r="F44" s="982">
        <v>0</v>
      </c>
      <c r="G44" s="1111">
        <v>0</v>
      </c>
      <c r="H44" s="982">
        <v>0</v>
      </c>
      <c r="I44" s="982">
        <v>0</v>
      </c>
      <c r="J44" s="982">
        <v>0</v>
      </c>
      <c r="K44" s="982">
        <v>0</v>
      </c>
      <c r="L44" s="982">
        <v>0</v>
      </c>
      <c r="M44" s="980">
        <f t="shared" si="5"/>
        <v>52287.866604367766</v>
      </c>
      <c r="N44" s="967">
        <f>I10</f>
        <v>50000</v>
      </c>
      <c r="O44" s="977">
        <f>M44-N49</f>
        <v>52287.866604367766</v>
      </c>
    </row>
    <row r="45" spans="1:15" ht="12.45">
      <c r="A45" s="1762"/>
      <c r="B45" s="1763"/>
      <c r="C45" s="1763"/>
      <c r="D45" s="1763"/>
      <c r="E45" s="1763"/>
      <c r="F45" s="1763"/>
      <c r="G45" s="1763"/>
      <c r="H45" s="1763"/>
      <c r="I45" s="1763"/>
      <c r="J45" s="1763"/>
      <c r="K45" s="1763"/>
      <c r="L45" s="1763"/>
      <c r="M45" s="1763"/>
      <c r="N45" s="1763"/>
      <c r="O45" s="1764"/>
    </row>
    <row r="46" spans="1:15" ht="23.6">
      <c r="A46" s="1765" t="s">
        <v>391</v>
      </c>
      <c r="B46" s="1766"/>
      <c r="C46" s="1766"/>
      <c r="D46" s="1766"/>
      <c r="E46" s="1766"/>
      <c r="F46" s="1766"/>
      <c r="G46" s="1766"/>
      <c r="H46" s="1766"/>
      <c r="I46" s="1766"/>
      <c r="J46" s="1766"/>
      <c r="K46" s="1766"/>
      <c r="L46" s="1766"/>
      <c r="M46" s="1766"/>
      <c r="N46" s="1766"/>
      <c r="O46" s="1766"/>
    </row>
    <row r="47" spans="1:15" ht="14.4">
      <c r="A47" s="1283"/>
      <c r="B47" s="1282"/>
      <c r="C47" s="1282"/>
      <c r="D47" s="1047"/>
      <c r="E47" s="1047"/>
      <c r="F47" s="1047"/>
      <c r="G47" s="1047"/>
      <c r="H47" s="1047"/>
      <c r="I47" s="1047"/>
      <c r="J47" s="1047"/>
      <c r="K47" s="1047"/>
      <c r="L47" s="1047"/>
      <c r="M47" s="1047"/>
      <c r="N47" s="1048"/>
      <c r="O47" s="1049"/>
    </row>
    <row r="48" spans="1:15" ht="18.350000000000001">
      <c r="A48" s="1799" t="s">
        <v>392</v>
      </c>
      <c r="B48" s="1800"/>
      <c r="C48" s="1801"/>
      <c r="D48" s="1801"/>
      <c r="E48" s="1801"/>
      <c r="F48" s="1801"/>
      <c r="G48" s="1801"/>
      <c r="H48" s="1801"/>
      <c r="I48" s="1801"/>
      <c r="J48" s="1801"/>
      <c r="K48" s="1801"/>
      <c r="L48" s="1801"/>
      <c r="M48" s="1801"/>
      <c r="N48" s="1801"/>
      <c r="O48" s="1802"/>
    </row>
    <row r="49" spans="1:23" ht="14.4">
      <c r="A49" s="1055">
        <f>A44+1</f>
        <v>2046</v>
      </c>
      <c r="B49" s="1199">
        <f>B44+1</f>
        <v>87</v>
      </c>
      <c r="C49" s="1166">
        <f>C44+1</f>
        <v>22</v>
      </c>
      <c r="D49" s="982">
        <v>0</v>
      </c>
      <c r="E49" s="982">
        <v>0</v>
      </c>
      <c r="F49" s="982">
        <v>0</v>
      </c>
      <c r="G49" s="982">
        <v>0</v>
      </c>
      <c r="H49" s="982">
        <v>0</v>
      </c>
      <c r="I49" s="982">
        <v>0</v>
      </c>
      <c r="J49" s="982">
        <v>0</v>
      </c>
      <c r="K49" s="982">
        <v>0</v>
      </c>
      <c r="L49" s="982">
        <v>0</v>
      </c>
      <c r="M49" s="982">
        <f>SUM(D49+E50+F49+G50+H49+I49+J49+L49)</f>
        <v>0</v>
      </c>
      <c r="N49" s="967">
        <v>0</v>
      </c>
      <c r="O49" s="977">
        <f t="shared" si="2"/>
        <v>0</v>
      </c>
    </row>
    <row r="50" spans="1:23" ht="14.4">
      <c r="A50" s="119">
        <f t="shared" si="4"/>
        <v>2047</v>
      </c>
      <c r="B50" s="706">
        <f t="shared" si="4"/>
        <v>88</v>
      </c>
      <c r="C50" s="148">
        <f t="shared" si="4"/>
        <v>23</v>
      </c>
      <c r="D50" s="982">
        <v>0</v>
      </c>
      <c r="E50" s="982">
        <v>0</v>
      </c>
      <c r="F50" s="982">
        <v>0</v>
      </c>
      <c r="G50" s="982">
        <v>0</v>
      </c>
      <c r="H50" s="982">
        <v>0</v>
      </c>
      <c r="I50" s="982">
        <v>0</v>
      </c>
      <c r="J50" s="982">
        <v>0</v>
      </c>
      <c r="K50" s="982">
        <v>0</v>
      </c>
      <c r="L50" s="982">
        <v>0</v>
      </c>
      <c r="M50" s="982">
        <f>SUM(D50+E51+F50+G51+H50+I50+J50+L50)</f>
        <v>0</v>
      </c>
      <c r="N50" s="967">
        <v>0</v>
      </c>
      <c r="O50" s="977">
        <f t="shared" si="2"/>
        <v>0</v>
      </c>
    </row>
    <row r="51" spans="1:23" ht="14.4">
      <c r="A51" s="119">
        <f t="shared" si="4"/>
        <v>2048</v>
      </c>
      <c r="B51" s="148">
        <f t="shared" si="4"/>
        <v>89</v>
      </c>
      <c r="C51" s="148">
        <f t="shared" si="4"/>
        <v>24</v>
      </c>
      <c r="D51" s="982">
        <v>0</v>
      </c>
      <c r="E51" s="982">
        <v>0</v>
      </c>
      <c r="F51" s="982">
        <v>0</v>
      </c>
      <c r="G51" s="982">
        <v>0</v>
      </c>
      <c r="H51" s="982">
        <v>0</v>
      </c>
      <c r="I51" s="982">
        <v>0</v>
      </c>
      <c r="J51" s="982">
        <v>0</v>
      </c>
      <c r="K51" s="982">
        <v>0</v>
      </c>
      <c r="L51" s="982">
        <v>0</v>
      </c>
      <c r="M51" s="982">
        <f t="shared" si="5"/>
        <v>0</v>
      </c>
      <c r="N51" s="967">
        <v>0</v>
      </c>
      <c r="O51" s="977">
        <f t="shared" si="2"/>
        <v>0</v>
      </c>
    </row>
    <row r="52" spans="1:23" ht="14.4">
      <c r="A52" s="144">
        <f t="shared" si="4"/>
        <v>2049</v>
      </c>
      <c r="B52" s="602">
        <f t="shared" si="4"/>
        <v>90</v>
      </c>
      <c r="C52" s="602">
        <f t="shared" si="4"/>
        <v>25</v>
      </c>
      <c r="D52" s="982">
        <v>0</v>
      </c>
      <c r="E52" s="982">
        <v>0</v>
      </c>
      <c r="F52" s="1050">
        <v>0</v>
      </c>
      <c r="G52" s="982">
        <v>0</v>
      </c>
      <c r="H52" s="982">
        <v>0</v>
      </c>
      <c r="I52" s="982">
        <v>0</v>
      </c>
      <c r="J52" s="982">
        <v>0</v>
      </c>
      <c r="K52" s="982">
        <v>0</v>
      </c>
      <c r="L52" s="982">
        <v>0</v>
      </c>
      <c r="M52" s="982">
        <f t="shared" si="5"/>
        <v>0</v>
      </c>
      <c r="N52" s="967">
        <v>0</v>
      </c>
      <c r="O52" s="985">
        <f>M52-N54</f>
        <v>0</v>
      </c>
    </row>
    <row r="53" spans="1:23" ht="18.350000000000001">
      <c r="A53" s="1803" t="s">
        <v>393</v>
      </c>
      <c r="B53" s="1804"/>
      <c r="C53" s="1805"/>
      <c r="D53" s="1804"/>
      <c r="E53" s="1804"/>
      <c r="F53" s="1804"/>
      <c r="G53" s="1804"/>
      <c r="H53" s="1804"/>
      <c r="I53" s="1804"/>
      <c r="J53" s="1804"/>
      <c r="K53" s="1804"/>
      <c r="L53" s="1804"/>
      <c r="M53" s="1804"/>
      <c r="N53" s="1804"/>
      <c r="O53" s="1806"/>
      <c r="P53" s="208"/>
      <c r="Q53" s="89"/>
      <c r="R53" s="89"/>
      <c r="S53" s="89"/>
      <c r="T53" s="89"/>
      <c r="U53" s="89"/>
      <c r="V53" s="89"/>
      <c r="W53" s="89"/>
    </row>
    <row r="54" spans="1:23" ht="14.4">
      <c r="A54" s="137">
        <f>A52+1</f>
        <v>2050</v>
      </c>
      <c r="B54" s="1167">
        <f>B52+1</f>
        <v>91</v>
      </c>
      <c r="C54" s="71">
        <f>C52+1</f>
        <v>26</v>
      </c>
      <c r="D54" s="1284">
        <v>0</v>
      </c>
      <c r="E54" s="982">
        <v>0</v>
      </c>
      <c r="F54" s="982">
        <v>0</v>
      </c>
      <c r="G54" s="982">
        <v>0</v>
      </c>
      <c r="H54" s="982">
        <v>0</v>
      </c>
      <c r="I54" s="982">
        <v>0</v>
      </c>
      <c r="J54" s="982">
        <v>0</v>
      </c>
      <c r="K54" s="982">
        <v>0</v>
      </c>
      <c r="L54" s="982">
        <v>0</v>
      </c>
      <c r="M54" s="982">
        <f>SUM(D54+E55+F54+G54+H54+I54+J54+L54)</f>
        <v>0</v>
      </c>
      <c r="N54" s="967">
        <v>0</v>
      </c>
      <c r="O54" s="977">
        <f>M54-N55</f>
        <v>0</v>
      </c>
    </row>
    <row r="55" spans="1:23" ht="13.1" customHeight="1">
      <c r="A55" s="137">
        <f t="shared" ref="A55:A57" si="6">A54+1</f>
        <v>2051</v>
      </c>
      <c r="B55" s="706">
        <f t="shared" ref="B55:B57" si="7">B54+1</f>
        <v>92</v>
      </c>
      <c r="C55" s="706">
        <f t="shared" ref="C55:C57" si="8">C54+1</f>
        <v>27</v>
      </c>
      <c r="D55" s="1284">
        <v>0</v>
      </c>
      <c r="E55" s="982">
        <v>0</v>
      </c>
      <c r="F55" s="982">
        <v>0</v>
      </c>
      <c r="G55" s="982">
        <v>0</v>
      </c>
      <c r="H55" s="982">
        <v>0</v>
      </c>
      <c r="I55" s="982">
        <v>0</v>
      </c>
      <c r="J55" s="982">
        <v>0</v>
      </c>
      <c r="K55" s="982">
        <v>0</v>
      </c>
      <c r="L55" s="982">
        <v>0</v>
      </c>
      <c r="M55" s="982">
        <f>SUM(D55+E56+F55+G55+H55+I55+J55+L55)</f>
        <v>0</v>
      </c>
      <c r="N55" s="967">
        <v>0</v>
      </c>
      <c r="O55" s="977">
        <f>M55-N55</f>
        <v>0</v>
      </c>
    </row>
    <row r="56" spans="1:23" ht="13.1" customHeight="1">
      <c r="A56" s="137">
        <f t="shared" si="6"/>
        <v>2052</v>
      </c>
      <c r="B56" s="706">
        <f t="shared" si="7"/>
        <v>93</v>
      </c>
      <c r="C56" s="706">
        <f t="shared" si="8"/>
        <v>28</v>
      </c>
      <c r="D56" s="1284">
        <v>0</v>
      </c>
      <c r="E56" s="982">
        <v>0</v>
      </c>
      <c r="F56" s="982">
        <v>0</v>
      </c>
      <c r="G56" s="982">
        <v>0</v>
      </c>
      <c r="H56" s="982">
        <v>0</v>
      </c>
      <c r="I56" s="982">
        <v>0</v>
      </c>
      <c r="J56" s="982">
        <v>0</v>
      </c>
      <c r="K56" s="982">
        <v>0</v>
      </c>
      <c r="L56" s="982">
        <v>0</v>
      </c>
      <c r="M56" s="982">
        <f t="shared" si="5"/>
        <v>0</v>
      </c>
      <c r="N56" s="967">
        <v>0</v>
      </c>
      <c r="O56" s="977">
        <f t="shared" ref="O56:O57" si="9">M56-N56</f>
        <v>0</v>
      </c>
    </row>
    <row r="57" spans="1:23" ht="13.1" customHeight="1">
      <c r="A57" s="137">
        <f t="shared" si="6"/>
        <v>2053</v>
      </c>
      <c r="B57" s="706">
        <f t="shared" si="7"/>
        <v>94</v>
      </c>
      <c r="C57" s="706">
        <f t="shared" si="8"/>
        <v>29</v>
      </c>
      <c r="D57" s="1284">
        <v>0</v>
      </c>
      <c r="E57" s="982">
        <v>0</v>
      </c>
      <c r="F57" s="982">
        <v>0</v>
      </c>
      <c r="G57" s="982">
        <v>0</v>
      </c>
      <c r="H57" s="982">
        <v>0</v>
      </c>
      <c r="I57" s="982">
        <v>0</v>
      </c>
      <c r="J57" s="982">
        <v>0</v>
      </c>
      <c r="K57" s="982">
        <v>0</v>
      </c>
      <c r="L57" s="982">
        <v>0</v>
      </c>
      <c r="M57" s="982">
        <f t="shared" si="5"/>
        <v>0</v>
      </c>
      <c r="N57" s="967">
        <v>0</v>
      </c>
      <c r="O57" s="977">
        <f t="shared" si="9"/>
        <v>0</v>
      </c>
    </row>
    <row r="58" spans="1:23" ht="12.45">
      <c r="A58" s="1537"/>
      <c r="B58" s="1537"/>
      <c r="C58" s="1537"/>
      <c r="D58" s="1537"/>
      <c r="E58" s="1537"/>
      <c r="F58" s="1537"/>
      <c r="G58" s="1537"/>
      <c r="H58" s="1537"/>
      <c r="I58" s="1537"/>
      <c r="J58" s="1537"/>
      <c r="K58" s="1537"/>
      <c r="L58" s="1537"/>
      <c r="M58" s="1537"/>
      <c r="N58" s="1537"/>
      <c r="O58" s="1538"/>
    </row>
    <row r="59" spans="1:23" ht="23.6">
      <c r="A59" s="1775" t="s">
        <v>69</v>
      </c>
      <c r="B59" s="1775"/>
      <c r="C59" s="1775"/>
      <c r="D59" s="1775"/>
      <c r="E59" s="1775"/>
      <c r="F59" s="1775"/>
      <c r="G59" s="1775"/>
      <c r="H59" s="1775"/>
      <c r="I59" s="1775"/>
      <c r="J59" s="1775"/>
      <c r="K59" s="1775"/>
      <c r="L59" s="1775"/>
      <c r="M59" s="1775"/>
      <c r="N59" s="1775"/>
      <c r="O59" s="1775"/>
    </row>
    <row r="61" spans="1:23">
      <c r="A61" s="1540" t="s">
        <v>394</v>
      </c>
      <c r="B61" s="1540"/>
      <c r="C61" s="1540"/>
      <c r="D61" s="1540"/>
      <c r="E61" s="1540"/>
      <c r="F61" s="1540"/>
      <c r="G61" s="1540"/>
      <c r="H61" s="1540"/>
      <c r="I61" s="1540"/>
      <c r="J61" s="1540"/>
      <c r="K61" s="1540"/>
      <c r="L61" s="1540"/>
      <c r="M61" s="1540"/>
      <c r="N61" s="1540"/>
      <c r="O61" s="1540"/>
    </row>
    <row r="62" spans="1:23" ht="12.45">
      <c r="A62" s="1540" t="s">
        <v>71</v>
      </c>
      <c r="B62" s="1540"/>
      <c r="C62" s="1540"/>
      <c r="D62" s="1540"/>
      <c r="E62" s="1540"/>
      <c r="F62" s="1540"/>
      <c r="G62" s="1540"/>
      <c r="H62" s="1540"/>
      <c r="I62" s="1540"/>
      <c r="J62" s="1540"/>
      <c r="K62" s="1540"/>
      <c r="L62" s="1540"/>
      <c r="M62" s="1540"/>
      <c r="N62" s="1540"/>
      <c r="O62" s="1540"/>
    </row>
  </sheetData>
  <mergeCells count="32">
    <mergeCell ref="J12:O12"/>
    <mergeCell ref="A58:O58"/>
    <mergeCell ref="J13:K13"/>
    <mergeCell ref="A19:C19"/>
    <mergeCell ref="A13:C13"/>
    <mergeCell ref="A12:C12"/>
    <mergeCell ref="G13:H13"/>
    <mergeCell ref="G12:H12"/>
    <mergeCell ref="A62:O62"/>
    <mergeCell ref="A14:O14"/>
    <mergeCell ref="A45:O45"/>
    <mergeCell ref="A48:O48"/>
    <mergeCell ref="A53:O53"/>
    <mergeCell ref="A46:O46"/>
    <mergeCell ref="A15:O15"/>
    <mergeCell ref="A20:C20"/>
    <mergeCell ref="A59:O59"/>
    <mergeCell ref="A61:O61"/>
    <mergeCell ref="A16:O16"/>
    <mergeCell ref="D22:L22"/>
    <mergeCell ref="A21:A22"/>
    <mergeCell ref="B21:B22"/>
    <mergeCell ref="C21:C22"/>
    <mergeCell ref="J10:N10"/>
    <mergeCell ref="A1:D1"/>
    <mergeCell ref="F1:H1"/>
    <mergeCell ref="J1:L1"/>
    <mergeCell ref="A10:D10"/>
    <mergeCell ref="A6:C6"/>
    <mergeCell ref="A7:C7"/>
    <mergeCell ref="E6:F6"/>
    <mergeCell ref="E7:F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81" t="s">
        <v>369</v>
      </c>
      <c r="B1" s="1782"/>
      <c r="C1" s="1782"/>
      <c r="D1" s="1783"/>
      <c r="E1" s="1018" t="s">
        <v>42</v>
      </c>
      <c r="F1" s="1784" t="s">
        <v>370</v>
      </c>
      <c r="G1" s="1785"/>
      <c r="H1" s="1786"/>
      <c r="I1" s="1018" t="s">
        <v>44</v>
      </c>
      <c r="J1" s="1787" t="s">
        <v>371</v>
      </c>
      <c r="K1" s="1785"/>
      <c r="L1" s="1786"/>
      <c r="M1" s="208"/>
    </row>
    <row r="2" spans="1:23" ht="15.05">
      <c r="A2" s="1069"/>
      <c r="B2" s="588"/>
      <c r="C2" s="588"/>
      <c r="D2" s="588"/>
      <c r="E2" s="1070"/>
      <c r="F2" s="192"/>
      <c r="G2" s="192"/>
      <c r="H2" s="192"/>
      <c r="I2" s="1070"/>
      <c r="J2" s="1071"/>
      <c r="K2" s="1072"/>
      <c r="L2" s="192"/>
      <c r="M2" s="208"/>
    </row>
    <row r="3" spans="1:23" ht="15.05">
      <c r="B3" s="89"/>
      <c r="C3" s="89"/>
      <c r="E3" s="1012" t="s">
        <v>372</v>
      </c>
      <c r="F3" s="1161">
        <v>21807</v>
      </c>
      <c r="G3" s="1168">
        <v>64</v>
      </c>
      <c r="H3" s="1012" t="s">
        <v>411</v>
      </c>
      <c r="I3" s="1168">
        <v>67</v>
      </c>
      <c r="J3" s="1016">
        <f>I3-G3</f>
        <v>3</v>
      </c>
      <c r="K3" s="1033" t="s">
        <v>47</v>
      </c>
      <c r="L3" s="192"/>
      <c r="Q3" s="89"/>
    </row>
    <row r="4" spans="1:23" ht="17.7">
      <c r="C4" s="1173">
        <f ca="1">TODAY()</f>
        <v>46198</v>
      </c>
      <c r="E4" s="1159">
        <v>0</v>
      </c>
      <c r="F4" s="1160">
        <v>0</v>
      </c>
      <c r="G4" s="1162">
        <v>0</v>
      </c>
      <c r="H4" s="1159">
        <v>0</v>
      </c>
      <c r="I4" s="1162">
        <v>0</v>
      </c>
      <c r="J4" s="971">
        <f>I4-G4</f>
        <v>0</v>
      </c>
      <c r="K4" s="1159" t="s">
        <v>47</v>
      </c>
    </row>
    <row r="5" spans="1:23" ht="20.3">
      <c r="C5" s="970">
        <v>2020</v>
      </c>
      <c r="D5" s="192"/>
      <c r="E5" s="925"/>
      <c r="F5" s="925"/>
      <c r="G5" s="925"/>
      <c r="H5" s="192"/>
      <c r="I5" s="969"/>
      <c r="J5" s="192"/>
      <c r="K5" s="192"/>
      <c r="L5" s="969"/>
      <c r="M5" s="371"/>
      <c r="N5" s="192"/>
      <c r="P5" s="89"/>
      <c r="Q5" s="89"/>
      <c r="R5" s="89"/>
      <c r="S5" s="89"/>
      <c r="T5" s="89"/>
      <c r="U5" s="89"/>
      <c r="V5" s="89"/>
      <c r="W5" s="89"/>
    </row>
    <row r="6" spans="1:23" ht="17.7">
      <c r="A6" s="1788" t="s">
        <v>375</v>
      </c>
      <c r="B6" s="1789"/>
      <c r="C6" s="1790"/>
      <c r="D6" s="1169">
        <v>61500</v>
      </c>
      <c r="E6" s="1791" t="s">
        <v>376</v>
      </c>
      <c r="F6" s="1741"/>
      <c r="G6" s="1015">
        <v>61500</v>
      </c>
      <c r="H6" s="968" t="s">
        <v>377</v>
      </c>
      <c r="J6" s="968" t="s">
        <v>377</v>
      </c>
      <c r="K6" s="974"/>
      <c r="N6" s="16"/>
      <c r="O6" s="16"/>
      <c r="P6" s="89"/>
      <c r="Q6" s="89"/>
      <c r="R6" s="89"/>
      <c r="S6" s="89"/>
      <c r="T6" s="89"/>
      <c r="U6" s="89"/>
      <c r="V6" s="89"/>
      <c r="W6" s="89"/>
    </row>
    <row r="7" spans="1:23" ht="17.7">
      <c r="A7" s="1777" t="s">
        <v>378</v>
      </c>
      <c r="B7" s="1778"/>
      <c r="C7" s="1779"/>
      <c r="D7" s="1163">
        <v>0</v>
      </c>
      <c r="E7" s="1780" t="s">
        <v>379</v>
      </c>
      <c r="F7" s="1736"/>
      <c r="G7" s="1015">
        <f>D7*12</f>
        <v>0</v>
      </c>
      <c r="H7" s="968" t="s">
        <v>204</v>
      </c>
      <c r="I7" s="1015">
        <f>G6+G7</f>
        <v>61500</v>
      </c>
      <c r="J7" s="968" t="s">
        <v>380</v>
      </c>
      <c r="K7" s="972">
        <f>G6+G7</f>
        <v>61500</v>
      </c>
      <c r="O7" s="16"/>
      <c r="P7" s="89"/>
      <c r="Q7" s="89"/>
      <c r="R7" s="89"/>
      <c r="S7" s="89"/>
      <c r="T7" s="89"/>
      <c r="U7" s="89"/>
      <c r="V7" s="89"/>
      <c r="W7" s="89"/>
    </row>
    <row r="10" spans="1:23" ht="17.7">
      <c r="A10" s="1524" t="s">
        <v>381</v>
      </c>
      <c r="B10" s="1524"/>
      <c r="C10" s="1524"/>
      <c r="D10" s="1524"/>
      <c r="E10" s="1010">
        <v>4166.67</v>
      </c>
      <c r="F10" s="965" t="s">
        <v>51</v>
      </c>
      <c r="G10" s="966">
        <f>E10*12</f>
        <v>50000.04</v>
      </c>
      <c r="H10" s="192"/>
      <c r="I10" s="973">
        <v>50000</v>
      </c>
      <c r="J10" s="1734"/>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8" customHeight="1">
      <c r="A12" s="1742" t="s">
        <v>383</v>
      </c>
      <c r="B12" s="1743"/>
      <c r="C12" s="1744"/>
      <c r="D12" s="1170">
        <v>2991</v>
      </c>
      <c r="E12" s="1013" t="s">
        <v>12</v>
      </c>
      <c r="F12" s="1013">
        <v>67</v>
      </c>
      <c r="G12" s="1745" t="s">
        <v>54</v>
      </c>
      <c r="H12" s="1746"/>
      <c r="I12" s="1021">
        <f>D12*12</f>
        <v>35892</v>
      </c>
      <c r="J12" s="1553" t="s">
        <v>55</v>
      </c>
      <c r="K12" s="1553"/>
      <c r="L12" s="1553"/>
      <c r="M12" s="1553"/>
      <c r="N12" s="1553"/>
      <c r="O12" s="1553"/>
    </row>
    <row r="13" spans="1:23" ht="17.7">
      <c r="A13" s="1796">
        <v>0</v>
      </c>
      <c r="B13" s="1757"/>
      <c r="C13" s="1758"/>
      <c r="D13" s="1171">
        <v>0</v>
      </c>
      <c r="E13" s="1164">
        <v>67</v>
      </c>
      <c r="F13" s="1164">
        <v>67</v>
      </c>
      <c r="G13" s="1759" t="s">
        <v>54</v>
      </c>
      <c r="H13" s="1760"/>
      <c r="I13" s="973">
        <f>D13*12</f>
        <v>0</v>
      </c>
      <c r="J13" s="1552" t="s">
        <v>412</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541" t="s">
        <v>385</v>
      </c>
      <c r="B15" s="1541"/>
      <c r="C15" s="1541"/>
      <c r="D15" s="1541"/>
      <c r="E15" s="1541"/>
      <c r="F15" s="1541"/>
      <c r="G15" s="1541"/>
      <c r="H15" s="1541"/>
      <c r="I15" s="1541"/>
      <c r="J15" s="1541"/>
      <c r="K15" s="1541"/>
      <c r="L15" s="1541"/>
      <c r="M15" s="1541"/>
      <c r="N15" s="1541"/>
      <c r="O15" s="1542"/>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91.65">
      <c r="A17" s="1110"/>
      <c r="B17" s="1110"/>
      <c r="C17" s="1110"/>
      <c r="D17" s="1027" t="s">
        <v>413</v>
      </c>
      <c r="E17" s="36" t="s">
        <v>416</v>
      </c>
      <c r="F17" s="36" t="s">
        <v>417</v>
      </c>
      <c r="G17" s="36"/>
      <c r="H17" s="36"/>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t="s">
        <v>418</v>
      </c>
      <c r="F19" s="1285">
        <v>23516</v>
      </c>
      <c r="G19" s="1006"/>
      <c r="H19" s="1154"/>
      <c r="I19" s="1154"/>
      <c r="J19" s="1154"/>
      <c r="K19" s="1154"/>
      <c r="L19" s="1154"/>
      <c r="M19" s="992"/>
      <c r="N19" s="992"/>
      <c r="O19" s="993"/>
    </row>
    <row r="20" spans="1:23">
      <c r="A20" s="1811"/>
      <c r="B20" s="1811"/>
      <c r="C20" s="1812"/>
      <c r="D20" s="976">
        <f>F12</f>
        <v>67</v>
      </c>
      <c r="E20" s="976">
        <v>66</v>
      </c>
      <c r="F20" s="976"/>
      <c r="G20" s="976"/>
      <c r="H20" s="1155"/>
      <c r="I20" s="1105"/>
      <c r="J20" s="1105"/>
      <c r="K20" s="1105"/>
      <c r="L20" s="1105"/>
      <c r="M20" s="990"/>
      <c r="N20" s="989"/>
      <c r="O20" s="994"/>
    </row>
    <row r="21" spans="1:23" ht="16.05" customHeight="1">
      <c r="A21" s="1749" t="s">
        <v>26</v>
      </c>
      <c r="B21" s="1813" t="s">
        <v>390</v>
      </c>
      <c r="C21" s="1753" t="s">
        <v>59</v>
      </c>
      <c r="D21" s="975">
        <f>I12</f>
        <v>35892</v>
      </c>
      <c r="E21" s="975">
        <v>144797</v>
      </c>
      <c r="F21" s="975"/>
      <c r="G21" s="975"/>
      <c r="H21" s="975"/>
      <c r="I21" s="975"/>
      <c r="J21" s="975"/>
      <c r="K21" s="975"/>
      <c r="L21" s="975"/>
      <c r="M21" s="990"/>
      <c r="N21" s="989"/>
      <c r="O21" s="994"/>
    </row>
    <row r="22" spans="1:23" ht="16.05" customHeight="1">
      <c r="A22" s="1750"/>
      <c r="B22" s="1814"/>
      <c r="C22" s="1754"/>
      <c r="D22" s="1651"/>
      <c r="E22" s="1651"/>
      <c r="F22" s="1651"/>
      <c r="G22" s="1651"/>
      <c r="H22" s="1651"/>
      <c r="I22" s="1651"/>
      <c r="J22" s="1651"/>
      <c r="K22" s="1651"/>
      <c r="L22" s="1755"/>
      <c r="M22" s="991"/>
      <c r="N22" s="208"/>
      <c r="O22" s="995"/>
    </row>
    <row r="23" spans="1:23" ht="15.05">
      <c r="A23" s="979" t="s">
        <v>415</v>
      </c>
      <c r="B23" s="604">
        <v>65</v>
      </c>
      <c r="C23" s="148">
        <v>0</v>
      </c>
      <c r="D23" s="982">
        <v>0</v>
      </c>
      <c r="E23" s="982">
        <v>0</v>
      </c>
      <c r="F23" s="982">
        <v>0</v>
      </c>
      <c r="G23" s="1111">
        <v>0</v>
      </c>
      <c r="H23" s="982">
        <v>0</v>
      </c>
      <c r="I23" s="982">
        <v>0</v>
      </c>
      <c r="J23" s="982">
        <v>0</v>
      </c>
      <c r="K23" s="982">
        <v>0</v>
      </c>
      <c r="L23" s="982">
        <v>0</v>
      </c>
      <c r="M23" s="980">
        <f>D23+E23+F23+G23+H23+I23+J23+K23+L23</f>
        <v>0</v>
      </c>
      <c r="N23" s="1198">
        <f>I10</f>
        <v>50000</v>
      </c>
      <c r="O23" s="1157">
        <f>M23-N24</f>
        <v>-50000</v>
      </c>
    </row>
    <row r="24" spans="1:23" ht="14.4">
      <c r="A24" s="119">
        <f t="shared" ref="A24:C39" si="0">A23+1</f>
        <v>2025</v>
      </c>
      <c r="B24" s="1286">
        <f t="shared" si="0"/>
        <v>66</v>
      </c>
      <c r="C24" s="603">
        <f t="shared" si="0"/>
        <v>1</v>
      </c>
      <c r="D24" s="982">
        <v>0</v>
      </c>
      <c r="E24" s="982">
        <v>11758</v>
      </c>
      <c r="F24" s="982">
        <v>0</v>
      </c>
      <c r="G24" s="1111">
        <v>0</v>
      </c>
      <c r="H24" s="982">
        <v>0</v>
      </c>
      <c r="I24" s="982">
        <v>0</v>
      </c>
      <c r="J24" s="982">
        <v>0</v>
      </c>
      <c r="K24" s="982">
        <v>0</v>
      </c>
      <c r="L24" s="982">
        <v>0</v>
      </c>
      <c r="M24" s="980">
        <f t="shared" ref="M24:M40" si="1">D24+E24+F24+G24+H24+I24+J24+K24+L24</f>
        <v>11758</v>
      </c>
      <c r="N24" s="967">
        <f>I10</f>
        <v>50000</v>
      </c>
      <c r="O24" s="977">
        <f t="shared" ref="O24:O51" si="2">M24-N25</f>
        <v>-38242</v>
      </c>
    </row>
    <row r="25" spans="1:23" ht="14.4">
      <c r="A25" s="155">
        <f t="shared" si="0"/>
        <v>2026</v>
      </c>
      <c r="B25" s="1281">
        <f t="shared" si="0"/>
        <v>67</v>
      </c>
      <c r="C25" s="148">
        <f t="shared" si="0"/>
        <v>2</v>
      </c>
      <c r="D25" s="982">
        <v>35892</v>
      </c>
      <c r="E25" s="982">
        <v>11758</v>
      </c>
      <c r="F25" s="982">
        <v>0</v>
      </c>
      <c r="G25" s="1111">
        <v>0</v>
      </c>
      <c r="H25" s="982">
        <v>0</v>
      </c>
      <c r="I25" s="982">
        <v>0</v>
      </c>
      <c r="J25" s="982">
        <v>0</v>
      </c>
      <c r="K25" s="982">
        <v>0</v>
      </c>
      <c r="L25" s="982">
        <v>0</v>
      </c>
      <c r="M25" s="980">
        <f t="shared" si="1"/>
        <v>47650</v>
      </c>
      <c r="N25" s="967">
        <f>I10</f>
        <v>50000</v>
      </c>
      <c r="O25" s="977">
        <f t="shared" si="2"/>
        <v>-2350</v>
      </c>
    </row>
    <row r="26" spans="1:23" ht="14.4">
      <c r="A26" s="119">
        <f t="shared" si="0"/>
        <v>2027</v>
      </c>
      <c r="B26" s="706">
        <f t="shared" si="0"/>
        <v>68</v>
      </c>
      <c r="C26" s="706">
        <f t="shared" si="0"/>
        <v>3</v>
      </c>
      <c r="D26" s="982">
        <f>D25*1.02</f>
        <v>36609.840000000004</v>
      </c>
      <c r="E26" s="982">
        <v>11758</v>
      </c>
      <c r="F26" s="982">
        <v>0</v>
      </c>
      <c r="G26" s="1111">
        <v>0</v>
      </c>
      <c r="H26" s="982">
        <v>0</v>
      </c>
      <c r="I26" s="982">
        <v>0</v>
      </c>
      <c r="J26" s="982">
        <v>0</v>
      </c>
      <c r="K26" s="982">
        <v>0</v>
      </c>
      <c r="L26" s="982">
        <v>0</v>
      </c>
      <c r="M26" s="980">
        <f t="shared" si="1"/>
        <v>48367.840000000004</v>
      </c>
      <c r="N26" s="967">
        <f>I10</f>
        <v>50000</v>
      </c>
      <c r="O26" s="977">
        <f t="shared" si="2"/>
        <v>-1632.1599999999962</v>
      </c>
    </row>
    <row r="27" spans="1:23" ht="14.4">
      <c r="A27" s="119">
        <f t="shared" si="0"/>
        <v>2028</v>
      </c>
      <c r="B27" s="148">
        <f t="shared" si="0"/>
        <v>69</v>
      </c>
      <c r="C27" s="148">
        <f t="shared" si="0"/>
        <v>4</v>
      </c>
      <c r="D27" s="982">
        <f t="shared" ref="D27:D44" si="3">D26*1.02</f>
        <v>37342.036800000002</v>
      </c>
      <c r="E27" s="982">
        <v>11758</v>
      </c>
      <c r="F27" s="982">
        <v>0</v>
      </c>
      <c r="G27" s="1111">
        <v>0</v>
      </c>
      <c r="H27" s="982">
        <v>0</v>
      </c>
      <c r="I27" s="982">
        <v>0</v>
      </c>
      <c r="J27" s="982">
        <v>0</v>
      </c>
      <c r="K27" s="982">
        <v>0</v>
      </c>
      <c r="L27" s="982">
        <v>0</v>
      </c>
      <c r="M27" s="980">
        <f t="shared" si="1"/>
        <v>49100.036800000002</v>
      </c>
      <c r="N27" s="967">
        <f>I10</f>
        <v>50000</v>
      </c>
      <c r="O27" s="977">
        <f t="shared" si="2"/>
        <v>-899.96319999999832</v>
      </c>
    </row>
    <row r="28" spans="1:23" ht="14.4">
      <c r="A28" s="119">
        <f t="shared" si="0"/>
        <v>2029</v>
      </c>
      <c r="B28" s="602">
        <f t="shared" si="0"/>
        <v>70</v>
      </c>
      <c r="C28" s="602">
        <f t="shared" si="0"/>
        <v>5</v>
      </c>
      <c r="D28" s="982">
        <f t="shared" si="3"/>
        <v>38088.877536</v>
      </c>
      <c r="E28" s="982">
        <v>11758</v>
      </c>
      <c r="F28" s="982">
        <v>0</v>
      </c>
      <c r="G28" s="1111">
        <v>0</v>
      </c>
      <c r="H28" s="982">
        <v>0</v>
      </c>
      <c r="I28" s="982">
        <v>0</v>
      </c>
      <c r="J28" s="982">
        <v>0</v>
      </c>
      <c r="K28" s="982">
        <v>0</v>
      </c>
      <c r="L28" s="982">
        <v>0</v>
      </c>
      <c r="M28" s="980">
        <f t="shared" si="1"/>
        <v>49846.877536</v>
      </c>
      <c r="N28" s="967">
        <f>I10</f>
        <v>50000</v>
      </c>
      <c r="O28" s="977">
        <f t="shared" si="2"/>
        <v>-153.12246400000004</v>
      </c>
    </row>
    <row r="29" spans="1:23" ht="14.4">
      <c r="A29" s="155">
        <f t="shared" si="0"/>
        <v>2030</v>
      </c>
      <c r="B29" s="148">
        <f t="shared" si="0"/>
        <v>71</v>
      </c>
      <c r="C29" s="148">
        <f t="shared" si="0"/>
        <v>6</v>
      </c>
      <c r="D29" s="982">
        <f t="shared" si="3"/>
        <v>38850.655086719999</v>
      </c>
      <c r="E29" s="982">
        <v>11758</v>
      </c>
      <c r="F29" s="982">
        <v>0</v>
      </c>
      <c r="G29" s="1111">
        <v>0</v>
      </c>
      <c r="H29" s="982">
        <v>0</v>
      </c>
      <c r="I29" s="982">
        <v>0</v>
      </c>
      <c r="J29" s="982">
        <v>0</v>
      </c>
      <c r="K29" s="982">
        <v>0</v>
      </c>
      <c r="L29" s="982">
        <v>0</v>
      </c>
      <c r="M29" s="980">
        <f t="shared" si="1"/>
        <v>50608.655086719999</v>
      </c>
      <c r="N29" s="967">
        <f>I10</f>
        <v>50000</v>
      </c>
      <c r="O29" s="977">
        <f t="shared" si="2"/>
        <v>608.65508671999851</v>
      </c>
    </row>
    <row r="30" spans="1:23" ht="14.4">
      <c r="A30" s="119">
        <f t="shared" si="0"/>
        <v>2031</v>
      </c>
      <c r="B30" s="706">
        <f t="shared" si="0"/>
        <v>72</v>
      </c>
      <c r="C30" s="706">
        <f t="shared" si="0"/>
        <v>7</v>
      </c>
      <c r="D30" s="982">
        <f t="shared" si="3"/>
        <v>39627.668188454401</v>
      </c>
      <c r="E30" s="982">
        <v>11758</v>
      </c>
      <c r="F30" s="982">
        <v>0</v>
      </c>
      <c r="G30" s="1111">
        <v>0</v>
      </c>
      <c r="H30" s="982">
        <v>0</v>
      </c>
      <c r="I30" s="982">
        <v>0</v>
      </c>
      <c r="J30" s="982">
        <v>0</v>
      </c>
      <c r="K30" s="982">
        <v>0</v>
      </c>
      <c r="L30" s="982">
        <v>0</v>
      </c>
      <c r="M30" s="980">
        <f t="shared" si="1"/>
        <v>51385.668188454401</v>
      </c>
      <c r="N30" s="967">
        <f>I10</f>
        <v>50000</v>
      </c>
      <c r="O30" s="977">
        <f t="shared" si="2"/>
        <v>1385.6681884544014</v>
      </c>
    </row>
    <row r="31" spans="1:23" ht="14.4">
      <c r="A31" s="119">
        <f t="shared" si="0"/>
        <v>2032</v>
      </c>
      <c r="B31" s="148">
        <f t="shared" si="0"/>
        <v>73</v>
      </c>
      <c r="C31" s="148">
        <f t="shared" si="0"/>
        <v>8</v>
      </c>
      <c r="D31" s="982">
        <f t="shared" si="3"/>
        <v>40420.221552223491</v>
      </c>
      <c r="E31" s="982">
        <v>11758</v>
      </c>
      <c r="F31" s="982">
        <v>0</v>
      </c>
      <c r="G31" s="1111">
        <v>0</v>
      </c>
      <c r="H31" s="982">
        <v>0</v>
      </c>
      <c r="I31" s="982">
        <v>0</v>
      </c>
      <c r="J31" s="982">
        <v>0</v>
      </c>
      <c r="K31" s="982">
        <v>0</v>
      </c>
      <c r="L31" s="982">
        <v>0</v>
      </c>
      <c r="M31" s="980">
        <f t="shared" si="1"/>
        <v>52178.221552223491</v>
      </c>
      <c r="N31" s="967">
        <f>I10</f>
        <v>50000</v>
      </c>
      <c r="O31" s="977">
        <f t="shared" si="2"/>
        <v>2178.221552223491</v>
      </c>
    </row>
    <row r="32" spans="1:23" ht="14.4">
      <c r="A32" s="119">
        <f t="shared" si="0"/>
        <v>2033</v>
      </c>
      <c r="B32" s="148">
        <f t="shared" si="0"/>
        <v>74</v>
      </c>
      <c r="C32" s="148">
        <f t="shared" si="0"/>
        <v>9</v>
      </c>
      <c r="D32" s="982">
        <f t="shared" si="3"/>
        <v>41228.625983267964</v>
      </c>
      <c r="E32" s="982">
        <v>11758</v>
      </c>
      <c r="F32" s="982">
        <v>0</v>
      </c>
      <c r="G32" s="1111">
        <v>0</v>
      </c>
      <c r="H32" s="982">
        <v>0</v>
      </c>
      <c r="I32" s="982">
        <v>0</v>
      </c>
      <c r="J32" s="982">
        <v>0</v>
      </c>
      <c r="K32" s="982">
        <v>0</v>
      </c>
      <c r="L32" s="982">
        <v>0</v>
      </c>
      <c r="M32" s="980">
        <f t="shared" si="1"/>
        <v>52986.625983267964</v>
      </c>
      <c r="N32" s="967">
        <f>I10</f>
        <v>50000</v>
      </c>
      <c r="O32" s="977">
        <f t="shared" si="2"/>
        <v>2986.6259832679643</v>
      </c>
    </row>
    <row r="33" spans="1:15" ht="14.4">
      <c r="A33" s="119">
        <f t="shared" si="0"/>
        <v>2034</v>
      </c>
      <c r="B33" s="148">
        <f t="shared" si="0"/>
        <v>75</v>
      </c>
      <c r="C33" s="148">
        <f t="shared" si="0"/>
        <v>10</v>
      </c>
      <c r="D33" s="982">
        <f t="shared" si="3"/>
        <v>42053.198502933323</v>
      </c>
      <c r="E33" s="982">
        <v>11758</v>
      </c>
      <c r="F33" s="982">
        <v>0</v>
      </c>
      <c r="G33" s="1111">
        <v>0</v>
      </c>
      <c r="H33" s="982">
        <v>0</v>
      </c>
      <c r="I33" s="982">
        <v>0</v>
      </c>
      <c r="J33" s="982">
        <v>0</v>
      </c>
      <c r="K33" s="982">
        <v>0</v>
      </c>
      <c r="L33" s="982">
        <v>0</v>
      </c>
      <c r="M33" s="980">
        <f t="shared" si="1"/>
        <v>53811.198502933323</v>
      </c>
      <c r="N33" s="967">
        <f>I10</f>
        <v>50000</v>
      </c>
      <c r="O33" s="977">
        <f t="shared" si="2"/>
        <v>3811.1985029333227</v>
      </c>
    </row>
    <row r="34" spans="1:15" ht="14.4">
      <c r="A34" s="119">
        <f t="shared" si="0"/>
        <v>2035</v>
      </c>
      <c r="B34" s="148">
        <f t="shared" si="0"/>
        <v>76</v>
      </c>
      <c r="C34" s="148">
        <f t="shared" si="0"/>
        <v>11</v>
      </c>
      <c r="D34" s="982">
        <f t="shared" si="3"/>
        <v>42894.262472991992</v>
      </c>
      <c r="E34" s="982">
        <v>11758</v>
      </c>
      <c r="F34" s="982">
        <v>0</v>
      </c>
      <c r="G34" s="1111">
        <v>0</v>
      </c>
      <c r="H34" s="982">
        <v>0</v>
      </c>
      <c r="I34" s="982">
        <v>0</v>
      </c>
      <c r="J34" s="982">
        <v>0</v>
      </c>
      <c r="K34" s="982">
        <v>0</v>
      </c>
      <c r="L34" s="982">
        <v>0</v>
      </c>
      <c r="M34" s="980">
        <f t="shared" si="1"/>
        <v>54652.262472991992</v>
      </c>
      <c r="N34" s="967">
        <f>I10</f>
        <v>50000</v>
      </c>
      <c r="O34" s="977">
        <f t="shared" si="2"/>
        <v>4652.2624729919917</v>
      </c>
    </row>
    <row r="35" spans="1:15" ht="14.4">
      <c r="A35" s="119">
        <f t="shared" si="0"/>
        <v>2036</v>
      </c>
      <c r="B35" s="148">
        <f t="shared" si="0"/>
        <v>77</v>
      </c>
      <c r="C35" s="148">
        <f t="shared" si="0"/>
        <v>12</v>
      </c>
      <c r="D35" s="982">
        <f t="shared" si="3"/>
        <v>43752.147722451831</v>
      </c>
      <c r="E35" s="982">
        <v>11758</v>
      </c>
      <c r="F35" s="982">
        <v>0</v>
      </c>
      <c r="G35" s="1111">
        <v>0</v>
      </c>
      <c r="H35" s="982">
        <v>0</v>
      </c>
      <c r="I35" s="982">
        <v>0</v>
      </c>
      <c r="J35" s="982">
        <v>0</v>
      </c>
      <c r="K35" s="982">
        <v>0</v>
      </c>
      <c r="L35" s="982">
        <v>0</v>
      </c>
      <c r="M35" s="980">
        <f t="shared" si="1"/>
        <v>55510.147722451831</v>
      </c>
      <c r="N35" s="967">
        <f>I10</f>
        <v>50000</v>
      </c>
      <c r="O35" s="977">
        <f t="shared" si="2"/>
        <v>5510.1477224518312</v>
      </c>
    </row>
    <row r="36" spans="1:15" ht="14.4">
      <c r="A36" s="119">
        <f t="shared" si="0"/>
        <v>2037</v>
      </c>
      <c r="B36" s="148">
        <f t="shared" si="0"/>
        <v>78</v>
      </c>
      <c r="C36" s="148">
        <f t="shared" si="0"/>
        <v>13</v>
      </c>
      <c r="D36" s="982">
        <f t="shared" si="3"/>
        <v>44627.190676900871</v>
      </c>
      <c r="E36" s="982">
        <v>11758</v>
      </c>
      <c r="F36" s="982">
        <v>0</v>
      </c>
      <c r="G36" s="1111">
        <v>0</v>
      </c>
      <c r="H36" s="982">
        <v>0</v>
      </c>
      <c r="I36" s="982">
        <v>0</v>
      </c>
      <c r="J36" s="982">
        <v>0</v>
      </c>
      <c r="K36" s="982">
        <v>0</v>
      </c>
      <c r="L36" s="982">
        <v>0</v>
      </c>
      <c r="M36" s="980">
        <f t="shared" si="1"/>
        <v>56385.190676900871</v>
      </c>
      <c r="N36" s="967">
        <f>I10</f>
        <v>50000</v>
      </c>
      <c r="O36" s="977">
        <f t="shared" si="2"/>
        <v>6385.190676900871</v>
      </c>
    </row>
    <row r="37" spans="1:15" ht="14.4">
      <c r="A37" s="119">
        <f t="shared" si="0"/>
        <v>2038</v>
      </c>
      <c r="B37" s="148">
        <f t="shared" si="0"/>
        <v>79</v>
      </c>
      <c r="C37" s="148">
        <f t="shared" si="0"/>
        <v>14</v>
      </c>
      <c r="D37" s="982">
        <f t="shared" si="3"/>
        <v>45519.734490438888</v>
      </c>
      <c r="E37" s="982">
        <v>11758</v>
      </c>
      <c r="F37" s="982">
        <v>0</v>
      </c>
      <c r="G37" s="1111">
        <v>0</v>
      </c>
      <c r="H37" s="982">
        <v>0</v>
      </c>
      <c r="I37" s="982">
        <v>0</v>
      </c>
      <c r="J37" s="982">
        <v>0</v>
      </c>
      <c r="K37" s="982">
        <v>0</v>
      </c>
      <c r="L37" s="982">
        <v>0</v>
      </c>
      <c r="M37" s="980">
        <f t="shared" si="1"/>
        <v>57277.734490438888</v>
      </c>
      <c r="N37" s="967">
        <f>I10</f>
        <v>50000</v>
      </c>
      <c r="O37" s="977">
        <f t="shared" si="2"/>
        <v>7277.7344904388883</v>
      </c>
    </row>
    <row r="38" spans="1:15" ht="14.4">
      <c r="A38" s="155">
        <f t="shared" si="0"/>
        <v>2039</v>
      </c>
      <c r="B38" s="148">
        <f t="shared" si="0"/>
        <v>80</v>
      </c>
      <c r="C38" s="1165">
        <f t="shared" si="0"/>
        <v>15</v>
      </c>
      <c r="D38" s="982">
        <f t="shared" si="3"/>
        <v>46430.12918024767</v>
      </c>
      <c r="E38" s="982">
        <v>11758</v>
      </c>
      <c r="F38" s="982">
        <v>0</v>
      </c>
      <c r="G38" s="1111">
        <v>0</v>
      </c>
      <c r="H38" s="982">
        <v>0</v>
      </c>
      <c r="I38" s="982">
        <v>0</v>
      </c>
      <c r="J38" s="982">
        <v>0</v>
      </c>
      <c r="K38" s="982">
        <v>0</v>
      </c>
      <c r="L38" s="982">
        <v>0</v>
      </c>
      <c r="M38" s="980">
        <f t="shared" si="1"/>
        <v>58188.12918024767</v>
      </c>
      <c r="N38" s="967">
        <f>I10</f>
        <v>50000</v>
      </c>
      <c r="O38" s="977">
        <f t="shared" si="2"/>
        <v>8188.1291802476699</v>
      </c>
    </row>
    <row r="39" spans="1:15" ht="14.4">
      <c r="A39" s="119">
        <f t="shared" si="0"/>
        <v>2040</v>
      </c>
      <c r="B39" s="706">
        <f t="shared" si="0"/>
        <v>81</v>
      </c>
      <c r="C39" s="148">
        <f t="shared" si="0"/>
        <v>16</v>
      </c>
      <c r="D39" s="982">
        <f t="shared" si="3"/>
        <v>47358.731763852622</v>
      </c>
      <c r="E39" s="982">
        <v>11758</v>
      </c>
      <c r="F39" s="982">
        <v>0</v>
      </c>
      <c r="G39" s="1111">
        <v>0</v>
      </c>
      <c r="H39" s="982">
        <v>0</v>
      </c>
      <c r="I39" s="982">
        <v>0</v>
      </c>
      <c r="J39" s="982">
        <v>0</v>
      </c>
      <c r="K39" s="982">
        <v>0</v>
      </c>
      <c r="L39" s="982">
        <v>0</v>
      </c>
      <c r="M39" s="980">
        <f t="shared" si="1"/>
        <v>59116.731763852622</v>
      </c>
      <c r="N39" s="967">
        <f>I10</f>
        <v>50000</v>
      </c>
      <c r="O39" s="977">
        <f t="shared" si="2"/>
        <v>9116.731763852622</v>
      </c>
    </row>
    <row r="40" spans="1:15" ht="14.4">
      <c r="A40" s="119">
        <f t="shared" ref="A40:C52" si="4">A39+1</f>
        <v>2041</v>
      </c>
      <c r="B40" s="148">
        <f t="shared" si="4"/>
        <v>82</v>
      </c>
      <c r="C40" s="148">
        <f t="shared" si="4"/>
        <v>17</v>
      </c>
      <c r="D40" s="982">
        <f t="shared" si="3"/>
        <v>48305.906399129672</v>
      </c>
      <c r="E40" s="982">
        <v>11758</v>
      </c>
      <c r="F40" s="982">
        <v>0</v>
      </c>
      <c r="G40" s="1111">
        <v>0</v>
      </c>
      <c r="H40" s="982">
        <v>0</v>
      </c>
      <c r="I40" s="982">
        <v>0</v>
      </c>
      <c r="J40" s="982">
        <v>0</v>
      </c>
      <c r="K40" s="982">
        <v>0</v>
      </c>
      <c r="L40" s="982">
        <v>0</v>
      </c>
      <c r="M40" s="980">
        <f t="shared" si="1"/>
        <v>60063.906399129672</v>
      </c>
      <c r="N40" s="967">
        <f>I10</f>
        <v>50000</v>
      </c>
      <c r="O40" s="977">
        <f>M40-N41</f>
        <v>10063.906399129672</v>
      </c>
    </row>
    <row r="41" spans="1:15" ht="14.4">
      <c r="A41" s="119">
        <f>A40+1</f>
        <v>2042</v>
      </c>
      <c r="B41" s="148">
        <f>B40+1</f>
        <v>83</v>
      </c>
      <c r="C41" s="148">
        <f>C40+1</f>
        <v>18</v>
      </c>
      <c r="D41" s="982">
        <f t="shared" si="3"/>
        <v>49272.024527112269</v>
      </c>
      <c r="E41" s="982">
        <v>11758</v>
      </c>
      <c r="F41" s="982">
        <v>0</v>
      </c>
      <c r="G41" s="1111">
        <v>0</v>
      </c>
      <c r="H41" s="982">
        <v>0</v>
      </c>
      <c r="I41" s="982">
        <v>0</v>
      </c>
      <c r="J41" s="982">
        <v>0</v>
      </c>
      <c r="K41" s="982">
        <v>0</v>
      </c>
      <c r="L41" s="982">
        <v>0</v>
      </c>
      <c r="M41" s="981">
        <f t="shared" ref="M41:M57" si="5">SUM(D41+E41+F41+G41+H41+I41+J41+L41)</f>
        <v>61030.024527112269</v>
      </c>
      <c r="N41" s="967">
        <f>I10</f>
        <v>50000</v>
      </c>
      <c r="O41" s="977">
        <f t="shared" si="2"/>
        <v>11030.024527112269</v>
      </c>
    </row>
    <row r="42" spans="1:15" ht="14.4">
      <c r="A42" s="119">
        <f t="shared" si="4"/>
        <v>2043</v>
      </c>
      <c r="B42" s="148">
        <f t="shared" si="4"/>
        <v>84</v>
      </c>
      <c r="C42" s="148">
        <f t="shared" si="4"/>
        <v>19</v>
      </c>
      <c r="D42" s="982">
        <f t="shared" si="3"/>
        <v>50257.465017654518</v>
      </c>
      <c r="E42" s="982">
        <v>11758</v>
      </c>
      <c r="F42" s="982">
        <v>0</v>
      </c>
      <c r="G42" s="1111">
        <v>0</v>
      </c>
      <c r="H42" s="982">
        <v>0</v>
      </c>
      <c r="I42" s="982">
        <v>0</v>
      </c>
      <c r="J42" s="982">
        <v>0</v>
      </c>
      <c r="K42" s="982">
        <v>0</v>
      </c>
      <c r="L42" s="982">
        <v>0</v>
      </c>
      <c r="M42" s="982">
        <f t="shared" si="5"/>
        <v>62015.465017654518</v>
      </c>
      <c r="N42" s="967">
        <f>I10</f>
        <v>50000</v>
      </c>
      <c r="O42" s="977">
        <f t="shared" si="2"/>
        <v>12015.465017654518</v>
      </c>
    </row>
    <row r="43" spans="1:15" ht="14.4">
      <c r="A43" s="119">
        <f t="shared" si="4"/>
        <v>2044</v>
      </c>
      <c r="B43" s="148">
        <f t="shared" si="4"/>
        <v>85</v>
      </c>
      <c r="C43" s="148">
        <f t="shared" si="4"/>
        <v>20</v>
      </c>
      <c r="D43" s="982">
        <f t="shared" si="3"/>
        <v>51262.614318007611</v>
      </c>
      <c r="E43" s="982">
        <v>11758</v>
      </c>
      <c r="F43" s="982">
        <v>0</v>
      </c>
      <c r="G43" s="1111">
        <v>0</v>
      </c>
      <c r="H43" s="982">
        <v>0</v>
      </c>
      <c r="I43" s="982">
        <v>0</v>
      </c>
      <c r="J43" s="982">
        <v>0</v>
      </c>
      <c r="K43" s="982">
        <v>0</v>
      </c>
      <c r="L43" s="982">
        <v>0</v>
      </c>
      <c r="M43" s="980">
        <f t="shared" si="5"/>
        <v>63020.614318007611</v>
      </c>
      <c r="N43" s="967">
        <f>I10</f>
        <v>50000</v>
      </c>
      <c r="O43" s="977">
        <f t="shared" si="2"/>
        <v>13020.614318007611</v>
      </c>
    </row>
    <row r="44" spans="1:15" ht="14.4">
      <c r="A44" s="119">
        <f t="shared" si="4"/>
        <v>2045</v>
      </c>
      <c r="B44" s="148">
        <f t="shared" si="4"/>
        <v>86</v>
      </c>
      <c r="C44" s="148">
        <f t="shared" si="4"/>
        <v>21</v>
      </c>
      <c r="D44" s="982">
        <f t="shared" si="3"/>
        <v>52287.866604367766</v>
      </c>
      <c r="E44" s="982">
        <v>11758</v>
      </c>
      <c r="F44" s="982">
        <v>0</v>
      </c>
      <c r="G44" s="1111">
        <v>0</v>
      </c>
      <c r="H44" s="982">
        <v>0</v>
      </c>
      <c r="I44" s="982">
        <v>0</v>
      </c>
      <c r="J44" s="982">
        <v>0</v>
      </c>
      <c r="K44" s="982">
        <v>0</v>
      </c>
      <c r="L44" s="982">
        <v>0</v>
      </c>
      <c r="M44" s="980">
        <f t="shared" si="5"/>
        <v>64045.866604367766</v>
      </c>
      <c r="N44" s="967">
        <f>I10</f>
        <v>50000</v>
      </c>
      <c r="O44" s="977">
        <f>M44-N49</f>
        <v>64045.866604367766</v>
      </c>
    </row>
    <row r="45" spans="1:15" ht="12.45">
      <c r="A45" s="1762"/>
      <c r="B45" s="1763"/>
      <c r="C45" s="1763"/>
      <c r="D45" s="1763"/>
      <c r="E45" s="1763"/>
      <c r="F45" s="1763"/>
      <c r="G45" s="1763"/>
      <c r="H45" s="1763"/>
      <c r="I45" s="1763"/>
      <c r="J45" s="1763"/>
      <c r="K45" s="1763"/>
      <c r="L45" s="1763"/>
      <c r="M45" s="1763"/>
      <c r="N45" s="1763"/>
      <c r="O45" s="1764"/>
    </row>
    <row r="46" spans="1:15" ht="23.6">
      <c r="A46" s="1765" t="s">
        <v>391</v>
      </c>
      <c r="B46" s="1766"/>
      <c r="C46" s="1766"/>
      <c r="D46" s="1766"/>
      <c r="E46" s="1766"/>
      <c r="F46" s="1766"/>
      <c r="G46" s="1766"/>
      <c r="H46" s="1766"/>
      <c r="I46" s="1766"/>
      <c r="J46" s="1766"/>
      <c r="K46" s="1766"/>
      <c r="L46" s="1766"/>
      <c r="M46" s="1766"/>
      <c r="N46" s="1766"/>
      <c r="O46" s="1766"/>
    </row>
    <row r="47" spans="1:15" ht="14.4">
      <c r="A47" s="1283"/>
      <c r="B47" s="1282"/>
      <c r="C47" s="1282"/>
      <c r="D47" s="1047"/>
      <c r="E47" s="1047"/>
      <c r="F47" s="1047"/>
      <c r="G47" s="1047"/>
      <c r="H47" s="1047"/>
      <c r="I47" s="1047"/>
      <c r="J47" s="1047"/>
      <c r="K47" s="1047"/>
      <c r="L47" s="1047"/>
      <c r="M47" s="1047"/>
      <c r="N47" s="1048"/>
      <c r="O47" s="1049"/>
    </row>
    <row r="48" spans="1:15" ht="18.350000000000001">
      <c r="A48" s="1799" t="s">
        <v>392</v>
      </c>
      <c r="B48" s="1800"/>
      <c r="C48" s="1801"/>
      <c r="D48" s="1801"/>
      <c r="E48" s="1801"/>
      <c r="F48" s="1801"/>
      <c r="G48" s="1801"/>
      <c r="H48" s="1801"/>
      <c r="I48" s="1801"/>
      <c r="J48" s="1801"/>
      <c r="K48" s="1801"/>
      <c r="L48" s="1801"/>
      <c r="M48" s="1801"/>
      <c r="N48" s="1801"/>
      <c r="O48" s="1802"/>
    </row>
    <row r="49" spans="1:23" ht="14.4">
      <c r="A49" s="1055">
        <f>A44+1</f>
        <v>2046</v>
      </c>
      <c r="B49" s="1199">
        <f>B44+1</f>
        <v>87</v>
      </c>
      <c r="C49" s="1166">
        <f>C44+1</f>
        <v>22</v>
      </c>
      <c r="D49" s="982">
        <v>0</v>
      </c>
      <c r="E49" s="982">
        <v>0</v>
      </c>
      <c r="F49" s="982">
        <v>0</v>
      </c>
      <c r="G49" s="982">
        <v>0</v>
      </c>
      <c r="H49" s="982">
        <v>0</v>
      </c>
      <c r="I49" s="982">
        <v>0</v>
      </c>
      <c r="J49" s="982">
        <v>0</v>
      </c>
      <c r="K49" s="982">
        <v>0</v>
      </c>
      <c r="L49" s="982">
        <v>0</v>
      </c>
      <c r="M49" s="982">
        <f>SUM(D49+E50+F49+G50+H49+I49+J49+L49)</f>
        <v>0</v>
      </c>
      <c r="N49" s="967">
        <v>0</v>
      </c>
      <c r="O49" s="977">
        <f t="shared" si="2"/>
        <v>0</v>
      </c>
    </row>
    <row r="50" spans="1:23" ht="14.4">
      <c r="A50" s="119">
        <f t="shared" si="4"/>
        <v>2047</v>
      </c>
      <c r="B50" s="706">
        <f t="shared" si="4"/>
        <v>88</v>
      </c>
      <c r="C50" s="148">
        <f t="shared" si="4"/>
        <v>23</v>
      </c>
      <c r="D50" s="982">
        <v>0</v>
      </c>
      <c r="E50" s="982">
        <v>0</v>
      </c>
      <c r="F50" s="982">
        <v>0</v>
      </c>
      <c r="G50" s="982">
        <v>0</v>
      </c>
      <c r="H50" s="982">
        <v>0</v>
      </c>
      <c r="I50" s="982">
        <v>0</v>
      </c>
      <c r="J50" s="982">
        <v>0</v>
      </c>
      <c r="K50" s="982">
        <v>0</v>
      </c>
      <c r="L50" s="982">
        <v>0</v>
      </c>
      <c r="M50" s="982">
        <f>SUM(D50+E51+F50+G51+H50+I50+J50+L50)</f>
        <v>0</v>
      </c>
      <c r="N50" s="967">
        <v>0</v>
      </c>
      <c r="O50" s="977">
        <f t="shared" si="2"/>
        <v>0</v>
      </c>
    </row>
    <row r="51" spans="1:23" ht="14.4">
      <c r="A51" s="119">
        <f t="shared" si="4"/>
        <v>2048</v>
      </c>
      <c r="B51" s="148">
        <f t="shared" si="4"/>
        <v>89</v>
      </c>
      <c r="C51" s="148">
        <f t="shared" si="4"/>
        <v>24</v>
      </c>
      <c r="D51" s="982">
        <v>0</v>
      </c>
      <c r="E51" s="982">
        <v>0</v>
      </c>
      <c r="F51" s="982">
        <v>0</v>
      </c>
      <c r="G51" s="982">
        <v>0</v>
      </c>
      <c r="H51" s="982">
        <v>0</v>
      </c>
      <c r="I51" s="982">
        <v>0</v>
      </c>
      <c r="J51" s="982">
        <v>0</v>
      </c>
      <c r="K51" s="982">
        <v>0</v>
      </c>
      <c r="L51" s="982">
        <v>0</v>
      </c>
      <c r="M51" s="982">
        <f t="shared" si="5"/>
        <v>0</v>
      </c>
      <c r="N51" s="967">
        <v>0</v>
      </c>
      <c r="O51" s="977">
        <f t="shared" si="2"/>
        <v>0</v>
      </c>
    </row>
    <row r="52" spans="1:23" ht="14.4">
      <c r="A52" s="144">
        <f t="shared" si="4"/>
        <v>2049</v>
      </c>
      <c r="B52" s="602">
        <f t="shared" si="4"/>
        <v>90</v>
      </c>
      <c r="C52" s="602">
        <f t="shared" si="4"/>
        <v>25</v>
      </c>
      <c r="D52" s="982">
        <v>0</v>
      </c>
      <c r="E52" s="982">
        <v>0</v>
      </c>
      <c r="F52" s="1050">
        <v>0</v>
      </c>
      <c r="G52" s="982">
        <v>0</v>
      </c>
      <c r="H52" s="982">
        <v>0</v>
      </c>
      <c r="I52" s="982">
        <v>0</v>
      </c>
      <c r="J52" s="982">
        <v>0</v>
      </c>
      <c r="K52" s="982">
        <v>0</v>
      </c>
      <c r="L52" s="982">
        <v>0</v>
      </c>
      <c r="M52" s="982">
        <f t="shared" si="5"/>
        <v>0</v>
      </c>
      <c r="N52" s="967">
        <v>0</v>
      </c>
      <c r="O52" s="985">
        <f>M52-N54</f>
        <v>0</v>
      </c>
    </row>
    <row r="53" spans="1:23" ht="18.350000000000001">
      <c r="A53" s="1803" t="s">
        <v>393</v>
      </c>
      <c r="B53" s="1804"/>
      <c r="C53" s="1805"/>
      <c r="D53" s="1804"/>
      <c r="E53" s="1804"/>
      <c r="F53" s="1804"/>
      <c r="G53" s="1804"/>
      <c r="H53" s="1804"/>
      <c r="I53" s="1804"/>
      <c r="J53" s="1804"/>
      <c r="K53" s="1804"/>
      <c r="L53" s="1804"/>
      <c r="M53" s="1804"/>
      <c r="N53" s="1804"/>
      <c r="O53" s="1806"/>
      <c r="P53" s="208"/>
      <c r="Q53" s="89"/>
      <c r="R53" s="89"/>
      <c r="S53" s="89"/>
      <c r="T53" s="89"/>
      <c r="U53" s="89"/>
      <c r="V53" s="89"/>
      <c r="W53" s="89"/>
    </row>
    <row r="54" spans="1:23" ht="14.4">
      <c r="A54" s="137">
        <f>A52+1</f>
        <v>2050</v>
      </c>
      <c r="B54" s="1167">
        <f>B52+1</f>
        <v>91</v>
      </c>
      <c r="C54" s="71">
        <f>C52+1</f>
        <v>26</v>
      </c>
      <c r="D54" s="1284">
        <v>0</v>
      </c>
      <c r="E54" s="982">
        <v>0</v>
      </c>
      <c r="F54" s="982">
        <v>0</v>
      </c>
      <c r="G54" s="982">
        <v>0</v>
      </c>
      <c r="H54" s="982">
        <v>0</v>
      </c>
      <c r="I54" s="982">
        <v>0</v>
      </c>
      <c r="J54" s="982">
        <v>0</v>
      </c>
      <c r="K54" s="982">
        <v>0</v>
      </c>
      <c r="L54" s="982">
        <v>0</v>
      </c>
      <c r="M54" s="982">
        <f>SUM(D54+E55+F54+G54+H54+I54+J54+L54)</f>
        <v>0</v>
      </c>
      <c r="N54" s="967">
        <v>0</v>
      </c>
      <c r="O54" s="977">
        <f>M54-N55</f>
        <v>0</v>
      </c>
    </row>
    <row r="55" spans="1:23" ht="13.1" customHeight="1">
      <c r="A55" s="137">
        <f t="shared" ref="A55:C57" si="6">A54+1</f>
        <v>2051</v>
      </c>
      <c r="B55" s="706">
        <f t="shared" si="6"/>
        <v>92</v>
      </c>
      <c r="C55" s="706">
        <f t="shared" si="6"/>
        <v>27</v>
      </c>
      <c r="D55" s="1284">
        <v>0</v>
      </c>
      <c r="E55" s="982">
        <v>0</v>
      </c>
      <c r="F55" s="982">
        <v>0</v>
      </c>
      <c r="G55" s="982">
        <v>0</v>
      </c>
      <c r="H55" s="982">
        <v>0</v>
      </c>
      <c r="I55" s="982">
        <v>0</v>
      </c>
      <c r="J55" s="982">
        <v>0</v>
      </c>
      <c r="K55" s="982">
        <v>0</v>
      </c>
      <c r="L55" s="982">
        <v>0</v>
      </c>
      <c r="M55" s="982">
        <f>SUM(D55+E56+F55+G55+H55+I55+J55+L55)</f>
        <v>0</v>
      </c>
      <c r="N55" s="967">
        <v>0</v>
      </c>
      <c r="O55" s="977">
        <f>M55-N55</f>
        <v>0</v>
      </c>
    </row>
    <row r="56" spans="1:23" ht="13.1" customHeight="1">
      <c r="A56" s="137">
        <f t="shared" si="6"/>
        <v>2052</v>
      </c>
      <c r="B56" s="706">
        <f t="shared" si="6"/>
        <v>93</v>
      </c>
      <c r="C56" s="706">
        <f t="shared" si="6"/>
        <v>28</v>
      </c>
      <c r="D56" s="1284">
        <v>0</v>
      </c>
      <c r="E56" s="982">
        <v>0</v>
      </c>
      <c r="F56" s="982">
        <v>0</v>
      </c>
      <c r="G56" s="982">
        <v>0</v>
      </c>
      <c r="H56" s="982">
        <v>0</v>
      </c>
      <c r="I56" s="982">
        <v>0</v>
      </c>
      <c r="J56" s="982">
        <v>0</v>
      </c>
      <c r="K56" s="982">
        <v>0</v>
      </c>
      <c r="L56" s="982">
        <v>0</v>
      </c>
      <c r="M56" s="982">
        <f t="shared" si="5"/>
        <v>0</v>
      </c>
      <c r="N56" s="967">
        <v>0</v>
      </c>
      <c r="O56" s="977">
        <f t="shared" ref="O56:O57" si="7">M56-N56</f>
        <v>0</v>
      </c>
    </row>
    <row r="57" spans="1:23" ht="13.1" customHeight="1">
      <c r="A57" s="137">
        <f t="shared" si="6"/>
        <v>2053</v>
      </c>
      <c r="B57" s="706">
        <f t="shared" si="6"/>
        <v>94</v>
      </c>
      <c r="C57" s="706">
        <f t="shared" si="6"/>
        <v>29</v>
      </c>
      <c r="D57" s="1284">
        <v>0</v>
      </c>
      <c r="E57" s="982">
        <v>0</v>
      </c>
      <c r="F57" s="982">
        <v>0</v>
      </c>
      <c r="G57" s="982">
        <v>0</v>
      </c>
      <c r="H57" s="982">
        <v>0</v>
      </c>
      <c r="I57" s="982">
        <v>0</v>
      </c>
      <c r="J57" s="982">
        <v>0</v>
      </c>
      <c r="K57" s="982">
        <v>0</v>
      </c>
      <c r="L57" s="982">
        <v>0</v>
      </c>
      <c r="M57" s="982">
        <f t="shared" si="5"/>
        <v>0</v>
      </c>
      <c r="N57" s="967">
        <v>0</v>
      </c>
      <c r="O57" s="977">
        <f t="shared" si="7"/>
        <v>0</v>
      </c>
    </row>
    <row r="58" spans="1:23" ht="12.45">
      <c r="A58" s="1537"/>
      <c r="B58" s="1537"/>
      <c r="C58" s="1537"/>
      <c r="D58" s="1537"/>
      <c r="E58" s="1537"/>
      <c r="F58" s="1537"/>
      <c r="G58" s="1537"/>
      <c r="H58" s="1537"/>
      <c r="I58" s="1537"/>
      <c r="J58" s="1537"/>
      <c r="K58" s="1537"/>
      <c r="L58" s="1537"/>
      <c r="M58" s="1537"/>
      <c r="N58" s="1537"/>
      <c r="O58" s="1538"/>
    </row>
    <row r="59" spans="1:23" ht="23.6">
      <c r="A59" s="1775" t="s">
        <v>69</v>
      </c>
      <c r="B59" s="1775"/>
      <c r="C59" s="1775"/>
      <c r="D59" s="1775"/>
      <c r="E59" s="1775"/>
      <c r="F59" s="1775"/>
      <c r="G59" s="1775"/>
      <c r="H59" s="1775"/>
      <c r="I59" s="1775"/>
      <c r="J59" s="1775"/>
      <c r="K59" s="1775"/>
      <c r="L59" s="1775"/>
      <c r="M59" s="1775"/>
      <c r="N59" s="1775"/>
      <c r="O59" s="1775"/>
    </row>
    <row r="61" spans="1:23">
      <c r="A61" s="1540" t="s">
        <v>394</v>
      </c>
      <c r="B61" s="1540"/>
      <c r="C61" s="1540"/>
      <c r="D61" s="1540"/>
      <c r="E61" s="1540"/>
      <c r="F61" s="1540"/>
      <c r="G61" s="1540"/>
      <c r="H61" s="1540"/>
      <c r="I61" s="1540"/>
      <c r="J61" s="1540"/>
      <c r="K61" s="1540"/>
      <c r="L61" s="1540"/>
      <c r="M61" s="1540"/>
      <c r="N61" s="1540"/>
      <c r="O61" s="1540"/>
    </row>
    <row r="62" spans="1:23" ht="12.45">
      <c r="A62" s="1540" t="s">
        <v>71</v>
      </c>
      <c r="B62" s="1540"/>
      <c r="C62" s="1540"/>
      <c r="D62" s="1540"/>
      <c r="E62" s="1540"/>
      <c r="F62" s="1540"/>
      <c r="G62" s="1540"/>
      <c r="H62" s="1540"/>
      <c r="I62" s="1540"/>
      <c r="J62" s="1540"/>
      <c r="K62" s="1540"/>
      <c r="L62" s="1540"/>
      <c r="M62" s="1540"/>
      <c r="N62" s="1540"/>
      <c r="O62" s="1540"/>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15.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81" t="s">
        <v>369</v>
      </c>
      <c r="B1" s="1782"/>
      <c r="C1" s="1782"/>
      <c r="D1" s="1783"/>
      <c r="E1" s="1018" t="s">
        <v>42</v>
      </c>
      <c r="F1" s="1784" t="s">
        <v>370</v>
      </c>
      <c r="G1" s="1785"/>
      <c r="H1" s="1786"/>
      <c r="I1" s="1018" t="s">
        <v>44</v>
      </c>
      <c r="J1" s="1787" t="s">
        <v>371</v>
      </c>
      <c r="K1" s="1785"/>
      <c r="L1" s="1786"/>
      <c r="M1" s="208"/>
    </row>
    <row r="2" spans="1:23" ht="15.05">
      <c r="A2" s="1069"/>
      <c r="B2" s="588"/>
      <c r="C2" s="588"/>
      <c r="D2" s="588"/>
      <c r="E2" s="1070"/>
      <c r="F2" s="192"/>
      <c r="G2" s="192"/>
      <c r="H2" s="192"/>
      <c r="I2" s="1070"/>
      <c r="J2" s="1071"/>
      <c r="K2" s="1072"/>
      <c r="L2" s="192"/>
      <c r="M2" s="208"/>
    </row>
    <row r="3" spans="1:23" ht="15.05">
      <c r="B3" s="89"/>
      <c r="C3" s="89"/>
      <c r="E3" s="1012" t="s">
        <v>372</v>
      </c>
      <c r="F3" s="1161">
        <v>21807</v>
      </c>
      <c r="G3" s="1168">
        <v>64</v>
      </c>
      <c r="H3" s="1012" t="s">
        <v>411</v>
      </c>
      <c r="I3" s="1168">
        <v>67</v>
      </c>
      <c r="J3" s="1016">
        <f>I3-G3</f>
        <v>3</v>
      </c>
      <c r="K3" s="1033" t="s">
        <v>47</v>
      </c>
      <c r="L3" s="192"/>
      <c r="Q3" s="89"/>
    </row>
    <row r="4" spans="1:23" ht="17.7">
      <c r="C4" s="1173">
        <f ca="1">TODAY()</f>
        <v>46198</v>
      </c>
      <c r="E4" s="1159">
        <v>0</v>
      </c>
      <c r="F4" s="1160">
        <v>0</v>
      </c>
      <c r="G4" s="1162">
        <v>0</v>
      </c>
      <c r="H4" s="1159">
        <v>0</v>
      </c>
      <c r="I4" s="1162">
        <v>0</v>
      </c>
      <c r="J4" s="971">
        <f>I4-G4</f>
        <v>0</v>
      </c>
      <c r="K4" s="1159" t="s">
        <v>47</v>
      </c>
    </row>
    <row r="5" spans="1:23" ht="20.3">
      <c r="C5" s="970">
        <v>2020</v>
      </c>
      <c r="D5" s="192"/>
      <c r="E5" s="925"/>
      <c r="F5" s="925"/>
      <c r="G5" s="925"/>
      <c r="H5" s="192"/>
      <c r="I5" s="969"/>
      <c r="J5" s="192"/>
      <c r="K5" s="192"/>
      <c r="L5" s="969"/>
      <c r="M5" s="371"/>
      <c r="N5" s="192"/>
      <c r="P5" s="89"/>
      <c r="Q5" s="89"/>
      <c r="R5" s="89"/>
      <c r="S5" s="89"/>
      <c r="T5" s="89"/>
      <c r="U5" s="89"/>
      <c r="V5" s="89"/>
      <c r="W5" s="89"/>
    </row>
    <row r="6" spans="1:23" ht="17.7">
      <c r="A6" s="1788" t="s">
        <v>375</v>
      </c>
      <c r="B6" s="1789"/>
      <c r="C6" s="1790"/>
      <c r="D6" s="1169">
        <v>61500</v>
      </c>
      <c r="E6" s="1791" t="s">
        <v>376</v>
      </c>
      <c r="F6" s="1741"/>
      <c r="G6" s="1015">
        <v>61500</v>
      </c>
      <c r="H6" s="968" t="s">
        <v>377</v>
      </c>
      <c r="J6" s="968" t="s">
        <v>377</v>
      </c>
      <c r="K6" s="974"/>
      <c r="N6" s="16"/>
      <c r="O6" s="16"/>
      <c r="P6" s="89"/>
      <c r="Q6" s="89"/>
      <c r="R6" s="89"/>
      <c r="S6" s="89"/>
      <c r="T6" s="89"/>
      <c r="U6" s="89"/>
      <c r="V6" s="89"/>
      <c r="W6" s="89"/>
    </row>
    <row r="7" spans="1:23" ht="17.7">
      <c r="A7" s="1777" t="s">
        <v>378</v>
      </c>
      <c r="B7" s="1778"/>
      <c r="C7" s="1779"/>
      <c r="D7" s="1163">
        <v>0</v>
      </c>
      <c r="E7" s="1780" t="s">
        <v>379</v>
      </c>
      <c r="F7" s="1736"/>
      <c r="G7" s="1015">
        <f>D7*12</f>
        <v>0</v>
      </c>
      <c r="H7" s="968" t="s">
        <v>204</v>
      </c>
      <c r="I7" s="1015">
        <f>G6+G7</f>
        <v>61500</v>
      </c>
      <c r="J7" s="968" t="s">
        <v>380</v>
      </c>
      <c r="K7" s="972">
        <f>G6+G7</f>
        <v>61500</v>
      </c>
      <c r="O7" s="16"/>
      <c r="P7" s="89"/>
      <c r="Q7" s="89"/>
      <c r="R7" s="89"/>
      <c r="S7" s="89"/>
      <c r="T7" s="89"/>
      <c r="U7" s="89"/>
      <c r="V7" s="89"/>
      <c r="W7" s="89"/>
    </row>
    <row r="10" spans="1:23" ht="17.7">
      <c r="A10" s="1524" t="s">
        <v>381</v>
      </c>
      <c r="B10" s="1524"/>
      <c r="C10" s="1524"/>
      <c r="D10" s="1524"/>
      <c r="E10" s="1010">
        <v>4166.67</v>
      </c>
      <c r="F10" s="965" t="s">
        <v>51</v>
      </c>
      <c r="G10" s="966">
        <f>E10*12</f>
        <v>50000.04</v>
      </c>
      <c r="H10" s="192"/>
      <c r="I10" s="973">
        <v>50000</v>
      </c>
      <c r="J10" s="1734"/>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8" customHeight="1">
      <c r="A12" s="1742" t="s">
        <v>383</v>
      </c>
      <c r="B12" s="1743"/>
      <c r="C12" s="1744"/>
      <c r="D12" s="1170">
        <v>2991</v>
      </c>
      <c r="E12" s="1013" t="s">
        <v>12</v>
      </c>
      <c r="F12" s="1013">
        <v>67</v>
      </c>
      <c r="G12" s="1745" t="s">
        <v>54</v>
      </c>
      <c r="H12" s="1746"/>
      <c r="I12" s="1021">
        <f>D12*12</f>
        <v>35892</v>
      </c>
      <c r="J12" s="1553" t="s">
        <v>55</v>
      </c>
      <c r="K12" s="1553"/>
      <c r="L12" s="1553"/>
      <c r="M12" s="1553"/>
      <c r="N12" s="1553"/>
      <c r="O12" s="1553"/>
    </row>
    <row r="13" spans="1:23" ht="17.7">
      <c r="A13" s="1796">
        <v>0</v>
      </c>
      <c r="B13" s="1757"/>
      <c r="C13" s="1758"/>
      <c r="D13" s="1171">
        <v>0</v>
      </c>
      <c r="E13" s="1164">
        <v>67</v>
      </c>
      <c r="F13" s="1164">
        <v>67</v>
      </c>
      <c r="G13" s="1759" t="s">
        <v>54</v>
      </c>
      <c r="H13" s="1760"/>
      <c r="I13" s="973">
        <f>D13*12</f>
        <v>0</v>
      </c>
      <c r="J13" s="1552" t="s">
        <v>412</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541" t="s">
        <v>385</v>
      </c>
      <c r="B15" s="1541"/>
      <c r="C15" s="1541"/>
      <c r="D15" s="1541"/>
      <c r="E15" s="1541"/>
      <c r="F15" s="1541"/>
      <c r="G15" s="1541"/>
      <c r="H15" s="1541"/>
      <c r="I15" s="1541"/>
      <c r="J15" s="1541"/>
      <c r="K15" s="1541"/>
      <c r="L15" s="1541"/>
      <c r="M15" s="1541"/>
      <c r="N15" s="1541"/>
      <c r="O15" s="1542"/>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110"/>
      <c r="B17" s="1110"/>
      <c r="C17" s="1110"/>
      <c r="D17" s="1027" t="s">
        <v>413</v>
      </c>
      <c r="E17" s="36" t="s">
        <v>419</v>
      </c>
      <c r="F17" s="36"/>
      <c r="G17" s="36"/>
      <c r="H17" s="36"/>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005"/>
      <c r="G19" s="1006"/>
      <c r="H19" s="1154"/>
      <c r="I19" s="1154"/>
      <c r="J19" s="1154"/>
      <c r="K19" s="1154"/>
      <c r="L19" s="1154"/>
      <c r="M19" s="992"/>
      <c r="N19" s="992"/>
      <c r="O19" s="993"/>
    </row>
    <row r="20" spans="1:23">
      <c r="A20" s="1811"/>
      <c r="B20" s="1811"/>
      <c r="C20" s="1812"/>
      <c r="D20" s="976">
        <f>F12</f>
        <v>67</v>
      </c>
      <c r="E20" s="976">
        <v>67</v>
      </c>
      <c r="F20" s="976"/>
      <c r="G20" s="976"/>
      <c r="H20" s="1155"/>
      <c r="I20" s="1105"/>
      <c r="J20" s="1105"/>
      <c r="K20" s="1105"/>
      <c r="L20" s="1105"/>
      <c r="M20" s="990"/>
      <c r="N20" s="989"/>
      <c r="O20" s="994"/>
    </row>
    <row r="21" spans="1:23" ht="16.05" customHeight="1">
      <c r="A21" s="1749" t="s">
        <v>26</v>
      </c>
      <c r="B21" s="1813" t="s">
        <v>390</v>
      </c>
      <c r="C21" s="1753" t="s">
        <v>59</v>
      </c>
      <c r="D21" s="975">
        <f>I12</f>
        <v>35892</v>
      </c>
      <c r="E21" s="975">
        <v>143533</v>
      </c>
      <c r="F21" s="975"/>
      <c r="G21" s="975"/>
      <c r="H21" s="975"/>
      <c r="I21" s="975"/>
      <c r="J21" s="975"/>
      <c r="K21" s="975"/>
      <c r="L21" s="975"/>
      <c r="M21" s="990"/>
      <c r="N21" s="989"/>
      <c r="O21" s="994"/>
    </row>
    <row r="22" spans="1:23" ht="16.05" customHeight="1">
      <c r="A22" s="1750"/>
      <c r="B22" s="1814"/>
      <c r="C22" s="1754"/>
      <c r="D22" s="1651"/>
      <c r="E22" s="1651"/>
      <c r="F22" s="1651"/>
      <c r="G22" s="1651"/>
      <c r="H22" s="1651"/>
      <c r="I22" s="1651"/>
      <c r="J22" s="1651"/>
      <c r="K22" s="1651"/>
      <c r="L22" s="1755"/>
      <c r="M22" s="991"/>
      <c r="N22" s="208"/>
      <c r="O22" s="995"/>
    </row>
    <row r="23" spans="1:23" ht="15.05">
      <c r="A23" s="979" t="s">
        <v>415</v>
      </c>
      <c r="B23" s="604">
        <v>65</v>
      </c>
      <c r="C23" s="148">
        <v>0</v>
      </c>
      <c r="D23" s="982">
        <v>0</v>
      </c>
      <c r="E23" s="982">
        <v>0</v>
      </c>
      <c r="F23" s="982">
        <v>0</v>
      </c>
      <c r="G23" s="1111">
        <v>0</v>
      </c>
      <c r="H23" s="982">
        <v>0</v>
      </c>
      <c r="I23" s="982">
        <v>0</v>
      </c>
      <c r="J23" s="982">
        <v>0</v>
      </c>
      <c r="K23" s="982">
        <v>0</v>
      </c>
      <c r="L23" s="982">
        <v>0</v>
      </c>
      <c r="M23" s="980">
        <f>D23+E23+F23+G23+H23+I23+J23+K23+L23</f>
        <v>0</v>
      </c>
      <c r="N23" s="1198">
        <f>I10</f>
        <v>50000</v>
      </c>
      <c r="O23" s="1157">
        <f>M23-N24</f>
        <v>-50000</v>
      </c>
    </row>
    <row r="24" spans="1:23" ht="14.4">
      <c r="A24" s="119">
        <f t="shared" ref="A24:C39" si="0">A23+1</f>
        <v>2025</v>
      </c>
      <c r="B24" s="602">
        <f t="shared" si="0"/>
        <v>66</v>
      </c>
      <c r="C24" s="603">
        <f t="shared" si="0"/>
        <v>1</v>
      </c>
      <c r="D24" s="982">
        <v>0</v>
      </c>
      <c r="E24" s="982">
        <v>0</v>
      </c>
      <c r="F24" s="982">
        <v>0</v>
      </c>
      <c r="G24" s="1111">
        <v>0</v>
      </c>
      <c r="H24" s="982">
        <v>0</v>
      </c>
      <c r="I24" s="982">
        <v>0</v>
      </c>
      <c r="J24" s="982">
        <v>0</v>
      </c>
      <c r="K24" s="982">
        <v>0</v>
      </c>
      <c r="L24" s="982">
        <v>0</v>
      </c>
      <c r="M24" s="980">
        <f t="shared" ref="M24:M40" si="1">D24+E24+F24+G24+H24+I24+J24+K24+L24</f>
        <v>0</v>
      </c>
      <c r="N24" s="967">
        <f>I10</f>
        <v>50000</v>
      </c>
      <c r="O24" s="977">
        <f t="shared" ref="O24:O51" si="2">M24-N25</f>
        <v>-50000</v>
      </c>
    </row>
    <row r="25" spans="1:23" ht="14.4">
      <c r="A25" s="155">
        <f t="shared" si="0"/>
        <v>2026</v>
      </c>
      <c r="B25" s="1281">
        <f t="shared" si="0"/>
        <v>67</v>
      </c>
      <c r="C25" s="148">
        <f t="shared" si="0"/>
        <v>2</v>
      </c>
      <c r="D25" s="982">
        <v>35892</v>
      </c>
      <c r="E25" s="982">
        <v>11899</v>
      </c>
      <c r="F25" s="982">
        <v>0</v>
      </c>
      <c r="G25" s="1111">
        <v>0</v>
      </c>
      <c r="H25" s="982">
        <v>0</v>
      </c>
      <c r="I25" s="982">
        <v>0</v>
      </c>
      <c r="J25" s="982">
        <v>0</v>
      </c>
      <c r="K25" s="982">
        <v>0</v>
      </c>
      <c r="L25" s="982">
        <v>0</v>
      </c>
      <c r="M25" s="980">
        <f t="shared" si="1"/>
        <v>47791</v>
      </c>
      <c r="N25" s="967">
        <f>I10</f>
        <v>50000</v>
      </c>
      <c r="O25" s="977">
        <f t="shared" si="2"/>
        <v>-2209</v>
      </c>
    </row>
    <row r="26" spans="1:23" ht="14.4">
      <c r="A26" s="119">
        <f t="shared" si="0"/>
        <v>2027</v>
      </c>
      <c r="B26" s="706">
        <f t="shared" si="0"/>
        <v>68</v>
      </c>
      <c r="C26" s="706">
        <f t="shared" si="0"/>
        <v>3</v>
      </c>
      <c r="D26" s="982">
        <f>D25*1.02</f>
        <v>36609.840000000004</v>
      </c>
      <c r="E26" s="982">
        <v>11899</v>
      </c>
      <c r="F26" s="982">
        <v>0</v>
      </c>
      <c r="G26" s="1111">
        <v>0</v>
      </c>
      <c r="H26" s="982">
        <v>0</v>
      </c>
      <c r="I26" s="982">
        <v>0</v>
      </c>
      <c r="J26" s="982">
        <v>0</v>
      </c>
      <c r="K26" s="982">
        <v>0</v>
      </c>
      <c r="L26" s="982">
        <v>0</v>
      </c>
      <c r="M26" s="980">
        <f t="shared" si="1"/>
        <v>48508.840000000004</v>
      </c>
      <c r="N26" s="967">
        <f>I10</f>
        <v>50000</v>
      </c>
      <c r="O26" s="977">
        <f t="shared" si="2"/>
        <v>-1491.1599999999962</v>
      </c>
    </row>
    <row r="27" spans="1:23" ht="14.4">
      <c r="A27" s="119">
        <f t="shared" si="0"/>
        <v>2028</v>
      </c>
      <c r="B27" s="148">
        <f t="shared" si="0"/>
        <v>69</v>
      </c>
      <c r="C27" s="148">
        <f t="shared" si="0"/>
        <v>4</v>
      </c>
      <c r="D27" s="982">
        <f t="shared" ref="D27:D44" si="3">D26*1.02</f>
        <v>37342.036800000002</v>
      </c>
      <c r="E27" s="982">
        <v>11899</v>
      </c>
      <c r="F27" s="982">
        <v>0</v>
      </c>
      <c r="G27" s="1111">
        <v>0</v>
      </c>
      <c r="H27" s="982">
        <v>0</v>
      </c>
      <c r="I27" s="982">
        <v>0</v>
      </c>
      <c r="J27" s="982">
        <v>0</v>
      </c>
      <c r="K27" s="982">
        <v>0</v>
      </c>
      <c r="L27" s="982">
        <v>0</v>
      </c>
      <c r="M27" s="980">
        <f t="shared" si="1"/>
        <v>49241.036800000002</v>
      </c>
      <c r="N27" s="967">
        <f>I10</f>
        <v>50000</v>
      </c>
      <c r="O27" s="977">
        <f t="shared" si="2"/>
        <v>-758.96319999999832</v>
      </c>
    </row>
    <row r="28" spans="1:23" ht="14.4">
      <c r="A28" s="119">
        <f t="shared" si="0"/>
        <v>2029</v>
      </c>
      <c r="B28" s="602">
        <f t="shared" si="0"/>
        <v>70</v>
      </c>
      <c r="C28" s="602">
        <f t="shared" si="0"/>
        <v>5</v>
      </c>
      <c r="D28" s="982">
        <f t="shared" si="3"/>
        <v>38088.877536</v>
      </c>
      <c r="E28" s="982">
        <v>11899</v>
      </c>
      <c r="F28" s="982">
        <v>0</v>
      </c>
      <c r="G28" s="1111">
        <v>0</v>
      </c>
      <c r="H28" s="982">
        <v>0</v>
      </c>
      <c r="I28" s="982">
        <v>0</v>
      </c>
      <c r="J28" s="982">
        <v>0</v>
      </c>
      <c r="K28" s="982">
        <v>0</v>
      </c>
      <c r="L28" s="982">
        <v>0</v>
      </c>
      <c r="M28" s="980">
        <f t="shared" si="1"/>
        <v>49987.877536</v>
      </c>
      <c r="N28" s="967">
        <f>I10</f>
        <v>50000</v>
      </c>
      <c r="O28" s="977">
        <f t="shared" si="2"/>
        <v>-12.122464000000036</v>
      </c>
    </row>
    <row r="29" spans="1:23" ht="14.4">
      <c r="A29" s="155">
        <f t="shared" si="0"/>
        <v>2030</v>
      </c>
      <c r="B29" s="148">
        <f t="shared" si="0"/>
        <v>71</v>
      </c>
      <c r="C29" s="148">
        <f t="shared" si="0"/>
        <v>6</v>
      </c>
      <c r="D29" s="982">
        <f t="shared" si="3"/>
        <v>38850.655086719999</v>
      </c>
      <c r="E29" s="982">
        <v>11899</v>
      </c>
      <c r="F29" s="982">
        <v>0</v>
      </c>
      <c r="G29" s="1111">
        <v>0</v>
      </c>
      <c r="H29" s="982">
        <v>0</v>
      </c>
      <c r="I29" s="982">
        <v>0</v>
      </c>
      <c r="J29" s="982">
        <v>0</v>
      </c>
      <c r="K29" s="982">
        <v>0</v>
      </c>
      <c r="L29" s="982">
        <v>0</v>
      </c>
      <c r="M29" s="980">
        <f t="shared" si="1"/>
        <v>50749.655086719999</v>
      </c>
      <c r="N29" s="967">
        <f>I10</f>
        <v>50000</v>
      </c>
      <c r="O29" s="977">
        <f t="shared" si="2"/>
        <v>749.65508671999851</v>
      </c>
    </row>
    <row r="30" spans="1:23" ht="14.4">
      <c r="A30" s="119">
        <f t="shared" si="0"/>
        <v>2031</v>
      </c>
      <c r="B30" s="706">
        <f t="shared" si="0"/>
        <v>72</v>
      </c>
      <c r="C30" s="706">
        <f t="shared" si="0"/>
        <v>7</v>
      </c>
      <c r="D30" s="982">
        <f t="shared" si="3"/>
        <v>39627.668188454401</v>
      </c>
      <c r="E30" s="982">
        <v>11899</v>
      </c>
      <c r="F30" s="982">
        <v>0</v>
      </c>
      <c r="G30" s="1111">
        <v>0</v>
      </c>
      <c r="H30" s="982">
        <v>0</v>
      </c>
      <c r="I30" s="982">
        <v>0</v>
      </c>
      <c r="J30" s="982">
        <v>0</v>
      </c>
      <c r="K30" s="982">
        <v>0</v>
      </c>
      <c r="L30" s="982">
        <v>0</v>
      </c>
      <c r="M30" s="980">
        <f t="shared" si="1"/>
        <v>51526.668188454401</v>
      </c>
      <c r="N30" s="967">
        <f>I10</f>
        <v>50000</v>
      </c>
      <c r="O30" s="977">
        <f t="shared" si="2"/>
        <v>1526.6681884544014</v>
      </c>
    </row>
    <row r="31" spans="1:23" ht="14.4">
      <c r="A31" s="119">
        <f t="shared" si="0"/>
        <v>2032</v>
      </c>
      <c r="B31" s="148">
        <f t="shared" si="0"/>
        <v>73</v>
      </c>
      <c r="C31" s="148">
        <f t="shared" si="0"/>
        <v>8</v>
      </c>
      <c r="D31" s="982">
        <f t="shared" si="3"/>
        <v>40420.221552223491</v>
      </c>
      <c r="E31" s="982">
        <v>11899</v>
      </c>
      <c r="F31" s="982">
        <v>0</v>
      </c>
      <c r="G31" s="1111">
        <v>0</v>
      </c>
      <c r="H31" s="982">
        <v>0</v>
      </c>
      <c r="I31" s="982">
        <v>0</v>
      </c>
      <c r="J31" s="982">
        <v>0</v>
      </c>
      <c r="K31" s="982">
        <v>0</v>
      </c>
      <c r="L31" s="982">
        <v>0</v>
      </c>
      <c r="M31" s="980">
        <f t="shared" si="1"/>
        <v>52319.221552223491</v>
      </c>
      <c r="N31" s="967">
        <f>I10</f>
        <v>50000</v>
      </c>
      <c r="O31" s="977">
        <f t="shared" si="2"/>
        <v>2319.221552223491</v>
      </c>
    </row>
    <row r="32" spans="1:23" ht="14.4">
      <c r="A32" s="119">
        <f t="shared" si="0"/>
        <v>2033</v>
      </c>
      <c r="B32" s="148">
        <f t="shared" si="0"/>
        <v>74</v>
      </c>
      <c r="C32" s="148">
        <f t="shared" si="0"/>
        <v>9</v>
      </c>
      <c r="D32" s="982">
        <f t="shared" si="3"/>
        <v>41228.625983267964</v>
      </c>
      <c r="E32" s="982">
        <v>11899</v>
      </c>
      <c r="F32" s="982">
        <v>0</v>
      </c>
      <c r="G32" s="1111">
        <v>0</v>
      </c>
      <c r="H32" s="982">
        <v>0</v>
      </c>
      <c r="I32" s="982">
        <v>0</v>
      </c>
      <c r="J32" s="982">
        <v>0</v>
      </c>
      <c r="K32" s="982">
        <v>0</v>
      </c>
      <c r="L32" s="982">
        <v>0</v>
      </c>
      <c r="M32" s="980">
        <f t="shared" si="1"/>
        <v>53127.625983267964</v>
      </c>
      <c r="N32" s="967">
        <f>I10</f>
        <v>50000</v>
      </c>
      <c r="O32" s="977">
        <f t="shared" si="2"/>
        <v>3127.6259832679643</v>
      </c>
    </row>
    <row r="33" spans="1:15" ht="14.4">
      <c r="A33" s="119">
        <f t="shared" si="0"/>
        <v>2034</v>
      </c>
      <c r="B33" s="148">
        <f t="shared" si="0"/>
        <v>75</v>
      </c>
      <c r="C33" s="148">
        <f t="shared" si="0"/>
        <v>10</v>
      </c>
      <c r="D33" s="982">
        <f t="shared" si="3"/>
        <v>42053.198502933323</v>
      </c>
      <c r="E33" s="982">
        <v>11899</v>
      </c>
      <c r="F33" s="982">
        <v>0</v>
      </c>
      <c r="G33" s="1111">
        <v>0</v>
      </c>
      <c r="H33" s="982">
        <v>0</v>
      </c>
      <c r="I33" s="982">
        <v>0</v>
      </c>
      <c r="J33" s="982">
        <v>0</v>
      </c>
      <c r="K33" s="982">
        <v>0</v>
      </c>
      <c r="L33" s="982">
        <v>0</v>
      </c>
      <c r="M33" s="980">
        <f t="shared" si="1"/>
        <v>53952.198502933323</v>
      </c>
      <c r="N33" s="967">
        <f>I10</f>
        <v>50000</v>
      </c>
      <c r="O33" s="977">
        <f t="shared" si="2"/>
        <v>3952.1985029333227</v>
      </c>
    </row>
    <row r="34" spans="1:15" ht="14.4">
      <c r="A34" s="119">
        <f t="shared" si="0"/>
        <v>2035</v>
      </c>
      <c r="B34" s="148">
        <f t="shared" si="0"/>
        <v>76</v>
      </c>
      <c r="C34" s="148">
        <f t="shared" si="0"/>
        <v>11</v>
      </c>
      <c r="D34" s="982">
        <f t="shared" si="3"/>
        <v>42894.262472991992</v>
      </c>
      <c r="E34" s="982">
        <v>11899</v>
      </c>
      <c r="F34" s="982">
        <v>0</v>
      </c>
      <c r="G34" s="1111">
        <v>0</v>
      </c>
      <c r="H34" s="982">
        <v>0</v>
      </c>
      <c r="I34" s="982">
        <v>0</v>
      </c>
      <c r="J34" s="982">
        <v>0</v>
      </c>
      <c r="K34" s="982">
        <v>0</v>
      </c>
      <c r="L34" s="982">
        <v>0</v>
      </c>
      <c r="M34" s="980">
        <f t="shared" si="1"/>
        <v>54793.262472991992</v>
      </c>
      <c r="N34" s="967">
        <f>I10</f>
        <v>50000</v>
      </c>
      <c r="O34" s="977">
        <f t="shared" si="2"/>
        <v>4793.2624729919917</v>
      </c>
    </row>
    <row r="35" spans="1:15" ht="14.4">
      <c r="A35" s="119">
        <f t="shared" si="0"/>
        <v>2036</v>
      </c>
      <c r="B35" s="148">
        <f t="shared" si="0"/>
        <v>77</v>
      </c>
      <c r="C35" s="148">
        <f t="shared" si="0"/>
        <v>12</v>
      </c>
      <c r="D35" s="982">
        <f t="shared" si="3"/>
        <v>43752.147722451831</v>
      </c>
      <c r="E35" s="982">
        <v>11899</v>
      </c>
      <c r="F35" s="982">
        <v>0</v>
      </c>
      <c r="G35" s="1111">
        <v>0</v>
      </c>
      <c r="H35" s="982">
        <v>0</v>
      </c>
      <c r="I35" s="982">
        <v>0</v>
      </c>
      <c r="J35" s="982">
        <v>0</v>
      </c>
      <c r="K35" s="982">
        <v>0</v>
      </c>
      <c r="L35" s="982">
        <v>0</v>
      </c>
      <c r="M35" s="980">
        <f t="shared" si="1"/>
        <v>55651.147722451831</v>
      </c>
      <c r="N35" s="967">
        <f>I10</f>
        <v>50000</v>
      </c>
      <c r="O35" s="977">
        <f t="shared" si="2"/>
        <v>5651.1477224518312</v>
      </c>
    </row>
    <row r="36" spans="1:15" ht="14.4">
      <c r="A36" s="119">
        <f t="shared" si="0"/>
        <v>2037</v>
      </c>
      <c r="B36" s="148">
        <f t="shared" si="0"/>
        <v>78</v>
      </c>
      <c r="C36" s="148">
        <f t="shared" si="0"/>
        <v>13</v>
      </c>
      <c r="D36" s="982">
        <f t="shared" si="3"/>
        <v>44627.190676900871</v>
      </c>
      <c r="E36" s="982">
        <v>11899</v>
      </c>
      <c r="F36" s="982">
        <v>0</v>
      </c>
      <c r="G36" s="1111">
        <v>0</v>
      </c>
      <c r="H36" s="982">
        <v>0</v>
      </c>
      <c r="I36" s="982">
        <v>0</v>
      </c>
      <c r="J36" s="982">
        <v>0</v>
      </c>
      <c r="K36" s="982">
        <v>0</v>
      </c>
      <c r="L36" s="982">
        <v>0</v>
      </c>
      <c r="M36" s="980">
        <f t="shared" si="1"/>
        <v>56526.190676900871</v>
      </c>
      <c r="N36" s="967">
        <f>I10</f>
        <v>50000</v>
      </c>
      <c r="O36" s="977">
        <f t="shared" si="2"/>
        <v>6526.190676900871</v>
      </c>
    </row>
    <row r="37" spans="1:15" ht="14.4">
      <c r="A37" s="119">
        <f t="shared" si="0"/>
        <v>2038</v>
      </c>
      <c r="B37" s="148">
        <f t="shared" si="0"/>
        <v>79</v>
      </c>
      <c r="C37" s="148">
        <f t="shared" si="0"/>
        <v>14</v>
      </c>
      <c r="D37" s="982">
        <f t="shared" si="3"/>
        <v>45519.734490438888</v>
      </c>
      <c r="E37" s="982">
        <v>11899</v>
      </c>
      <c r="F37" s="982">
        <v>0</v>
      </c>
      <c r="G37" s="1111">
        <v>0</v>
      </c>
      <c r="H37" s="982">
        <v>0</v>
      </c>
      <c r="I37" s="982">
        <v>0</v>
      </c>
      <c r="J37" s="982">
        <v>0</v>
      </c>
      <c r="K37" s="982">
        <v>0</v>
      </c>
      <c r="L37" s="982">
        <v>0</v>
      </c>
      <c r="M37" s="980">
        <f t="shared" si="1"/>
        <v>57418.734490438888</v>
      </c>
      <c r="N37" s="967">
        <f>I10</f>
        <v>50000</v>
      </c>
      <c r="O37" s="977">
        <f t="shared" si="2"/>
        <v>7418.7344904388883</v>
      </c>
    </row>
    <row r="38" spans="1:15" ht="14.4">
      <c r="A38" s="155">
        <f t="shared" si="0"/>
        <v>2039</v>
      </c>
      <c r="B38" s="148">
        <f t="shared" si="0"/>
        <v>80</v>
      </c>
      <c r="C38" s="1165">
        <f t="shared" si="0"/>
        <v>15</v>
      </c>
      <c r="D38" s="982">
        <f t="shared" si="3"/>
        <v>46430.12918024767</v>
      </c>
      <c r="E38" s="982">
        <v>11899</v>
      </c>
      <c r="F38" s="982">
        <v>0</v>
      </c>
      <c r="G38" s="1111">
        <v>0</v>
      </c>
      <c r="H38" s="982">
        <v>0</v>
      </c>
      <c r="I38" s="982">
        <v>0</v>
      </c>
      <c r="J38" s="982">
        <v>0</v>
      </c>
      <c r="K38" s="982">
        <v>0</v>
      </c>
      <c r="L38" s="982">
        <v>0</v>
      </c>
      <c r="M38" s="980">
        <f t="shared" si="1"/>
        <v>58329.12918024767</v>
      </c>
      <c r="N38" s="967">
        <f>I10</f>
        <v>50000</v>
      </c>
      <c r="O38" s="977">
        <f t="shared" si="2"/>
        <v>8329.1291802476699</v>
      </c>
    </row>
    <row r="39" spans="1:15" ht="14.4">
      <c r="A39" s="119">
        <f t="shared" si="0"/>
        <v>2040</v>
      </c>
      <c r="B39" s="706">
        <f t="shared" si="0"/>
        <v>81</v>
      </c>
      <c r="C39" s="148">
        <f t="shared" si="0"/>
        <v>16</v>
      </c>
      <c r="D39" s="982">
        <f t="shared" si="3"/>
        <v>47358.731763852622</v>
      </c>
      <c r="E39" s="982">
        <v>11899</v>
      </c>
      <c r="F39" s="982">
        <v>0</v>
      </c>
      <c r="G39" s="1111">
        <v>0</v>
      </c>
      <c r="H39" s="982">
        <v>0</v>
      </c>
      <c r="I39" s="982">
        <v>0</v>
      </c>
      <c r="J39" s="982">
        <v>0</v>
      </c>
      <c r="K39" s="982">
        <v>0</v>
      </c>
      <c r="L39" s="982">
        <v>0</v>
      </c>
      <c r="M39" s="980">
        <f t="shared" si="1"/>
        <v>59257.731763852622</v>
      </c>
      <c r="N39" s="967">
        <f>I10</f>
        <v>50000</v>
      </c>
      <c r="O39" s="977">
        <f t="shared" si="2"/>
        <v>9257.731763852622</v>
      </c>
    </row>
    <row r="40" spans="1:15" ht="14.4">
      <c r="A40" s="119">
        <f t="shared" ref="A40:C52" si="4">A39+1</f>
        <v>2041</v>
      </c>
      <c r="B40" s="148">
        <f t="shared" si="4"/>
        <v>82</v>
      </c>
      <c r="C40" s="148">
        <f t="shared" si="4"/>
        <v>17</v>
      </c>
      <c r="D40" s="982">
        <f t="shared" si="3"/>
        <v>48305.906399129672</v>
      </c>
      <c r="E40" s="982">
        <v>11899</v>
      </c>
      <c r="F40" s="982">
        <v>0</v>
      </c>
      <c r="G40" s="1111">
        <v>0</v>
      </c>
      <c r="H40" s="982">
        <v>0</v>
      </c>
      <c r="I40" s="982">
        <v>0</v>
      </c>
      <c r="J40" s="982">
        <v>0</v>
      </c>
      <c r="K40" s="982">
        <v>0</v>
      </c>
      <c r="L40" s="982">
        <v>0</v>
      </c>
      <c r="M40" s="980">
        <f t="shared" si="1"/>
        <v>60204.906399129672</v>
      </c>
      <c r="N40" s="967">
        <f>I10</f>
        <v>50000</v>
      </c>
      <c r="O40" s="977">
        <f>M40-N41</f>
        <v>10204.906399129672</v>
      </c>
    </row>
    <row r="41" spans="1:15" ht="14.4">
      <c r="A41" s="119">
        <f>A40+1</f>
        <v>2042</v>
      </c>
      <c r="B41" s="148">
        <f>B40+1</f>
        <v>83</v>
      </c>
      <c r="C41" s="148">
        <f>C40+1</f>
        <v>18</v>
      </c>
      <c r="D41" s="982">
        <f t="shared" si="3"/>
        <v>49272.024527112269</v>
      </c>
      <c r="E41" s="982">
        <v>11899</v>
      </c>
      <c r="F41" s="982">
        <v>0</v>
      </c>
      <c r="G41" s="1111">
        <v>0</v>
      </c>
      <c r="H41" s="982">
        <v>0</v>
      </c>
      <c r="I41" s="982">
        <v>0</v>
      </c>
      <c r="J41" s="982">
        <v>0</v>
      </c>
      <c r="K41" s="982">
        <v>0</v>
      </c>
      <c r="L41" s="982">
        <v>0</v>
      </c>
      <c r="M41" s="981">
        <f t="shared" ref="M41:M57" si="5">SUM(D41+E41+F41+G41+H41+I41+J41+L41)</f>
        <v>61171.024527112269</v>
      </c>
      <c r="N41" s="967">
        <f>I10</f>
        <v>50000</v>
      </c>
      <c r="O41" s="977">
        <f t="shared" si="2"/>
        <v>11171.024527112269</v>
      </c>
    </row>
    <row r="42" spans="1:15" ht="14.4">
      <c r="A42" s="119">
        <f t="shared" si="4"/>
        <v>2043</v>
      </c>
      <c r="B42" s="148">
        <f t="shared" si="4"/>
        <v>84</v>
      </c>
      <c r="C42" s="148">
        <f t="shared" si="4"/>
        <v>19</v>
      </c>
      <c r="D42" s="982">
        <f t="shared" si="3"/>
        <v>50257.465017654518</v>
      </c>
      <c r="E42" s="982">
        <v>11899</v>
      </c>
      <c r="F42" s="982">
        <v>0</v>
      </c>
      <c r="G42" s="1111">
        <v>0</v>
      </c>
      <c r="H42" s="982">
        <v>0</v>
      </c>
      <c r="I42" s="982">
        <v>0</v>
      </c>
      <c r="J42" s="982">
        <v>0</v>
      </c>
      <c r="K42" s="982">
        <v>0</v>
      </c>
      <c r="L42" s="982">
        <v>0</v>
      </c>
      <c r="M42" s="982">
        <f t="shared" si="5"/>
        <v>62156.465017654518</v>
      </c>
      <c r="N42" s="967">
        <f>I10</f>
        <v>50000</v>
      </c>
      <c r="O42" s="977">
        <f t="shared" si="2"/>
        <v>12156.465017654518</v>
      </c>
    </row>
    <row r="43" spans="1:15" ht="14.4">
      <c r="A43" s="119">
        <f t="shared" si="4"/>
        <v>2044</v>
      </c>
      <c r="B43" s="148">
        <f t="shared" si="4"/>
        <v>85</v>
      </c>
      <c r="C43" s="148">
        <f t="shared" si="4"/>
        <v>20</v>
      </c>
      <c r="D43" s="982">
        <f t="shared" si="3"/>
        <v>51262.614318007611</v>
      </c>
      <c r="E43" s="982">
        <v>11899</v>
      </c>
      <c r="F43" s="982">
        <v>0</v>
      </c>
      <c r="G43" s="1111">
        <v>0</v>
      </c>
      <c r="H43" s="982">
        <v>0</v>
      </c>
      <c r="I43" s="982">
        <v>0</v>
      </c>
      <c r="J43" s="982">
        <v>0</v>
      </c>
      <c r="K43" s="982">
        <v>0</v>
      </c>
      <c r="L43" s="982">
        <v>0</v>
      </c>
      <c r="M43" s="980">
        <f t="shared" si="5"/>
        <v>63161.614318007611</v>
      </c>
      <c r="N43" s="967">
        <f>I10</f>
        <v>50000</v>
      </c>
      <c r="O43" s="977">
        <f t="shared" si="2"/>
        <v>13161.614318007611</v>
      </c>
    </row>
    <row r="44" spans="1:15" ht="14.4">
      <c r="A44" s="119">
        <f t="shared" si="4"/>
        <v>2045</v>
      </c>
      <c r="B44" s="148">
        <f t="shared" si="4"/>
        <v>86</v>
      </c>
      <c r="C44" s="148">
        <f t="shared" si="4"/>
        <v>21</v>
      </c>
      <c r="D44" s="982">
        <f t="shared" si="3"/>
        <v>52287.866604367766</v>
      </c>
      <c r="E44" s="982">
        <v>11899</v>
      </c>
      <c r="F44" s="982">
        <v>0</v>
      </c>
      <c r="G44" s="1111">
        <v>0</v>
      </c>
      <c r="H44" s="982">
        <v>0</v>
      </c>
      <c r="I44" s="982">
        <v>0</v>
      </c>
      <c r="J44" s="982">
        <v>0</v>
      </c>
      <c r="K44" s="982">
        <v>0</v>
      </c>
      <c r="L44" s="982">
        <v>0</v>
      </c>
      <c r="M44" s="980">
        <f t="shared" si="5"/>
        <v>64186.866604367766</v>
      </c>
      <c r="N44" s="967">
        <f>I10</f>
        <v>50000</v>
      </c>
      <c r="O44" s="977">
        <f>M44-N49</f>
        <v>64186.866604367766</v>
      </c>
    </row>
    <row r="45" spans="1:15" ht="12.45">
      <c r="A45" s="1762"/>
      <c r="B45" s="1763"/>
      <c r="C45" s="1763"/>
      <c r="D45" s="1763"/>
      <c r="E45" s="1763"/>
      <c r="F45" s="1763"/>
      <c r="G45" s="1763"/>
      <c r="H45" s="1763"/>
      <c r="I45" s="1763"/>
      <c r="J45" s="1763"/>
      <c r="K45" s="1763"/>
      <c r="L45" s="1763"/>
      <c r="M45" s="1763"/>
      <c r="N45" s="1763"/>
      <c r="O45" s="1764"/>
    </row>
    <row r="46" spans="1:15" ht="23.6">
      <c r="A46" s="1765" t="s">
        <v>391</v>
      </c>
      <c r="B46" s="1766"/>
      <c r="C46" s="1766"/>
      <c r="D46" s="1766"/>
      <c r="E46" s="1766"/>
      <c r="F46" s="1766"/>
      <c r="G46" s="1766"/>
      <c r="H46" s="1766"/>
      <c r="I46" s="1766"/>
      <c r="J46" s="1766"/>
      <c r="K46" s="1766"/>
      <c r="L46" s="1766"/>
      <c r="M46" s="1766"/>
      <c r="N46" s="1766"/>
      <c r="O46" s="1766"/>
    </row>
    <row r="47" spans="1:15" ht="14.4">
      <c r="A47" s="1283"/>
      <c r="B47" s="1282"/>
      <c r="C47" s="1282"/>
      <c r="D47" s="1047"/>
      <c r="E47" s="1047"/>
      <c r="F47" s="1047"/>
      <c r="G47" s="1047"/>
      <c r="H47" s="1047"/>
      <c r="I47" s="1047"/>
      <c r="J47" s="1047"/>
      <c r="K47" s="1047"/>
      <c r="L47" s="1047"/>
      <c r="M47" s="1047"/>
      <c r="N47" s="1048"/>
      <c r="O47" s="1049"/>
    </row>
    <row r="48" spans="1:15" ht="18.350000000000001">
      <c r="A48" s="1799" t="s">
        <v>392</v>
      </c>
      <c r="B48" s="1800"/>
      <c r="C48" s="1801"/>
      <c r="D48" s="1801"/>
      <c r="E48" s="1801"/>
      <c r="F48" s="1801"/>
      <c r="G48" s="1801"/>
      <c r="H48" s="1801"/>
      <c r="I48" s="1801"/>
      <c r="J48" s="1801"/>
      <c r="K48" s="1801"/>
      <c r="L48" s="1801"/>
      <c r="M48" s="1801"/>
      <c r="N48" s="1801"/>
      <c r="O48" s="1802"/>
    </row>
    <row r="49" spans="1:23" ht="14.4">
      <c r="A49" s="1055">
        <f>A44+1</f>
        <v>2046</v>
      </c>
      <c r="B49" s="1199">
        <f>B44+1</f>
        <v>87</v>
      </c>
      <c r="C49" s="1166">
        <f>C44+1</f>
        <v>22</v>
      </c>
      <c r="D49" s="982">
        <v>0</v>
      </c>
      <c r="E49" s="982">
        <v>0</v>
      </c>
      <c r="F49" s="982">
        <v>0</v>
      </c>
      <c r="G49" s="982">
        <v>0</v>
      </c>
      <c r="H49" s="982">
        <v>0</v>
      </c>
      <c r="I49" s="982">
        <v>0</v>
      </c>
      <c r="J49" s="982">
        <v>0</v>
      </c>
      <c r="K49" s="982">
        <v>0</v>
      </c>
      <c r="L49" s="982">
        <v>0</v>
      </c>
      <c r="M49" s="982">
        <f>SUM(D49+E50+F49+G50+H49+I49+J49+L49)</f>
        <v>0</v>
      </c>
      <c r="N49" s="967">
        <v>0</v>
      </c>
      <c r="O49" s="977">
        <f t="shared" si="2"/>
        <v>0</v>
      </c>
    </row>
    <row r="50" spans="1:23" ht="14.4">
      <c r="A50" s="119">
        <f t="shared" si="4"/>
        <v>2047</v>
      </c>
      <c r="B50" s="706">
        <f t="shared" si="4"/>
        <v>88</v>
      </c>
      <c r="C50" s="148">
        <f t="shared" si="4"/>
        <v>23</v>
      </c>
      <c r="D50" s="982">
        <v>0</v>
      </c>
      <c r="E50" s="982">
        <v>0</v>
      </c>
      <c r="F50" s="982">
        <v>0</v>
      </c>
      <c r="G50" s="982">
        <v>0</v>
      </c>
      <c r="H50" s="982">
        <v>0</v>
      </c>
      <c r="I50" s="982">
        <v>0</v>
      </c>
      <c r="J50" s="982">
        <v>0</v>
      </c>
      <c r="K50" s="982">
        <v>0</v>
      </c>
      <c r="L50" s="982">
        <v>0</v>
      </c>
      <c r="M50" s="982">
        <f>SUM(D50+E51+F50+G51+H50+I50+J50+L50)</f>
        <v>0</v>
      </c>
      <c r="N50" s="967">
        <v>0</v>
      </c>
      <c r="O50" s="977">
        <f t="shared" si="2"/>
        <v>0</v>
      </c>
    </row>
    <row r="51" spans="1:23" ht="14.4">
      <c r="A51" s="119">
        <f t="shared" si="4"/>
        <v>2048</v>
      </c>
      <c r="B51" s="148">
        <f t="shared" si="4"/>
        <v>89</v>
      </c>
      <c r="C51" s="148">
        <f t="shared" si="4"/>
        <v>24</v>
      </c>
      <c r="D51" s="982">
        <v>0</v>
      </c>
      <c r="E51" s="982">
        <v>0</v>
      </c>
      <c r="F51" s="982">
        <v>0</v>
      </c>
      <c r="G51" s="982">
        <v>0</v>
      </c>
      <c r="H51" s="982">
        <v>0</v>
      </c>
      <c r="I51" s="982">
        <v>0</v>
      </c>
      <c r="J51" s="982">
        <v>0</v>
      </c>
      <c r="K51" s="982">
        <v>0</v>
      </c>
      <c r="L51" s="982">
        <v>0</v>
      </c>
      <c r="M51" s="982">
        <f t="shared" si="5"/>
        <v>0</v>
      </c>
      <c r="N51" s="967">
        <v>0</v>
      </c>
      <c r="O51" s="977">
        <f t="shared" si="2"/>
        <v>0</v>
      </c>
    </row>
    <row r="52" spans="1:23" ht="14.4">
      <c r="A52" s="144">
        <f t="shared" si="4"/>
        <v>2049</v>
      </c>
      <c r="B52" s="602">
        <f t="shared" si="4"/>
        <v>90</v>
      </c>
      <c r="C52" s="602">
        <f t="shared" si="4"/>
        <v>25</v>
      </c>
      <c r="D52" s="982">
        <v>0</v>
      </c>
      <c r="E52" s="982">
        <v>0</v>
      </c>
      <c r="F52" s="1050">
        <v>0</v>
      </c>
      <c r="G52" s="982">
        <v>0</v>
      </c>
      <c r="H52" s="982">
        <v>0</v>
      </c>
      <c r="I52" s="982">
        <v>0</v>
      </c>
      <c r="J52" s="982">
        <v>0</v>
      </c>
      <c r="K52" s="982">
        <v>0</v>
      </c>
      <c r="L52" s="982">
        <v>0</v>
      </c>
      <c r="M52" s="982">
        <f t="shared" si="5"/>
        <v>0</v>
      </c>
      <c r="N52" s="967">
        <v>0</v>
      </c>
      <c r="O52" s="985">
        <f>M52-N54</f>
        <v>0</v>
      </c>
    </row>
    <row r="53" spans="1:23" ht="18.350000000000001">
      <c r="A53" s="1803" t="s">
        <v>393</v>
      </c>
      <c r="B53" s="1804"/>
      <c r="C53" s="1805"/>
      <c r="D53" s="1804"/>
      <c r="E53" s="1804"/>
      <c r="F53" s="1804"/>
      <c r="G53" s="1804"/>
      <c r="H53" s="1804"/>
      <c r="I53" s="1804"/>
      <c r="J53" s="1804"/>
      <c r="K53" s="1804"/>
      <c r="L53" s="1804"/>
      <c r="M53" s="1804"/>
      <c r="N53" s="1804"/>
      <c r="O53" s="1806"/>
      <c r="P53" s="208"/>
      <c r="Q53" s="89"/>
      <c r="R53" s="89"/>
      <c r="S53" s="89"/>
      <c r="T53" s="89"/>
      <c r="U53" s="89"/>
      <c r="V53" s="89"/>
      <c r="W53" s="89"/>
    </row>
    <row r="54" spans="1:23" ht="14.4">
      <c r="A54" s="137">
        <f>A52+1</f>
        <v>2050</v>
      </c>
      <c r="B54" s="1167">
        <f>B52+1</f>
        <v>91</v>
      </c>
      <c r="C54" s="71">
        <f>C52+1</f>
        <v>26</v>
      </c>
      <c r="D54" s="1284">
        <v>0</v>
      </c>
      <c r="E54" s="982">
        <v>0</v>
      </c>
      <c r="F54" s="982">
        <v>0</v>
      </c>
      <c r="G54" s="982">
        <v>0</v>
      </c>
      <c r="H54" s="982">
        <v>0</v>
      </c>
      <c r="I54" s="982">
        <v>0</v>
      </c>
      <c r="J54" s="982">
        <v>0</v>
      </c>
      <c r="K54" s="982">
        <v>0</v>
      </c>
      <c r="L54" s="982">
        <v>0</v>
      </c>
      <c r="M54" s="982">
        <f>SUM(D54+E55+F54+G54+H54+I54+J54+L54)</f>
        <v>0</v>
      </c>
      <c r="N54" s="967">
        <v>0</v>
      </c>
      <c r="O54" s="977">
        <f>M54-N55</f>
        <v>0</v>
      </c>
    </row>
    <row r="55" spans="1:23" ht="13.1" customHeight="1">
      <c r="A55" s="137">
        <f t="shared" ref="A55:C57" si="6">A54+1</f>
        <v>2051</v>
      </c>
      <c r="B55" s="706">
        <f t="shared" si="6"/>
        <v>92</v>
      </c>
      <c r="C55" s="706">
        <f t="shared" si="6"/>
        <v>27</v>
      </c>
      <c r="D55" s="1284">
        <v>0</v>
      </c>
      <c r="E55" s="982">
        <v>0</v>
      </c>
      <c r="F55" s="982">
        <v>0</v>
      </c>
      <c r="G55" s="982">
        <v>0</v>
      </c>
      <c r="H55" s="982">
        <v>0</v>
      </c>
      <c r="I55" s="982">
        <v>0</v>
      </c>
      <c r="J55" s="982">
        <v>0</v>
      </c>
      <c r="K55" s="982">
        <v>0</v>
      </c>
      <c r="L55" s="982">
        <v>0</v>
      </c>
      <c r="M55" s="982">
        <f>SUM(D55+E56+F55+G55+H55+I55+J55+L55)</f>
        <v>0</v>
      </c>
      <c r="N55" s="967">
        <v>0</v>
      </c>
      <c r="O55" s="977">
        <f>M55-N55</f>
        <v>0</v>
      </c>
    </row>
    <row r="56" spans="1:23" ht="13.1" customHeight="1">
      <c r="A56" s="137">
        <f t="shared" si="6"/>
        <v>2052</v>
      </c>
      <c r="B56" s="706">
        <f t="shared" si="6"/>
        <v>93</v>
      </c>
      <c r="C56" s="706">
        <f t="shared" si="6"/>
        <v>28</v>
      </c>
      <c r="D56" s="1284">
        <v>0</v>
      </c>
      <c r="E56" s="982">
        <v>0</v>
      </c>
      <c r="F56" s="982">
        <v>0</v>
      </c>
      <c r="G56" s="982">
        <v>0</v>
      </c>
      <c r="H56" s="982">
        <v>0</v>
      </c>
      <c r="I56" s="982">
        <v>0</v>
      </c>
      <c r="J56" s="982">
        <v>0</v>
      </c>
      <c r="K56" s="982">
        <v>0</v>
      </c>
      <c r="L56" s="982">
        <v>0</v>
      </c>
      <c r="M56" s="982">
        <f t="shared" si="5"/>
        <v>0</v>
      </c>
      <c r="N56" s="967">
        <v>0</v>
      </c>
      <c r="O56" s="977">
        <f t="shared" ref="O56:O57" si="7">M56-N56</f>
        <v>0</v>
      </c>
    </row>
    <row r="57" spans="1:23" ht="13.1" customHeight="1">
      <c r="A57" s="137">
        <f t="shared" si="6"/>
        <v>2053</v>
      </c>
      <c r="B57" s="706">
        <f t="shared" si="6"/>
        <v>94</v>
      </c>
      <c r="C57" s="706">
        <f t="shared" si="6"/>
        <v>29</v>
      </c>
      <c r="D57" s="1284">
        <v>0</v>
      </c>
      <c r="E57" s="982">
        <v>0</v>
      </c>
      <c r="F57" s="982">
        <v>0</v>
      </c>
      <c r="G57" s="982">
        <v>0</v>
      </c>
      <c r="H57" s="982">
        <v>0</v>
      </c>
      <c r="I57" s="982">
        <v>0</v>
      </c>
      <c r="J57" s="982">
        <v>0</v>
      </c>
      <c r="K57" s="982">
        <v>0</v>
      </c>
      <c r="L57" s="982">
        <v>0</v>
      </c>
      <c r="M57" s="982">
        <f t="shared" si="5"/>
        <v>0</v>
      </c>
      <c r="N57" s="967">
        <v>0</v>
      </c>
      <c r="O57" s="977">
        <f t="shared" si="7"/>
        <v>0</v>
      </c>
    </row>
    <row r="58" spans="1:23" ht="12.45">
      <c r="A58" s="1537"/>
      <c r="B58" s="1537"/>
      <c r="C58" s="1537"/>
      <c r="D58" s="1537"/>
      <c r="E58" s="1537"/>
      <c r="F58" s="1537"/>
      <c r="G58" s="1537"/>
      <c r="H58" s="1537"/>
      <c r="I58" s="1537"/>
      <c r="J58" s="1537"/>
      <c r="K58" s="1537"/>
      <c r="L58" s="1537"/>
      <c r="M58" s="1537"/>
      <c r="N58" s="1537"/>
      <c r="O58" s="1538"/>
    </row>
    <row r="59" spans="1:23" ht="23.6">
      <c r="A59" s="1775" t="s">
        <v>69</v>
      </c>
      <c r="B59" s="1775"/>
      <c r="C59" s="1775"/>
      <c r="D59" s="1775"/>
      <c r="E59" s="1775"/>
      <c r="F59" s="1775"/>
      <c r="G59" s="1775"/>
      <c r="H59" s="1775"/>
      <c r="I59" s="1775"/>
      <c r="J59" s="1775"/>
      <c r="K59" s="1775"/>
      <c r="L59" s="1775"/>
      <c r="M59" s="1775"/>
      <c r="N59" s="1775"/>
      <c r="O59" s="1775"/>
    </row>
    <row r="61" spans="1:23">
      <c r="A61" s="1540" t="s">
        <v>394</v>
      </c>
      <c r="B61" s="1540"/>
      <c r="C61" s="1540"/>
      <c r="D61" s="1540"/>
      <c r="E61" s="1540"/>
      <c r="F61" s="1540"/>
      <c r="G61" s="1540"/>
      <c r="H61" s="1540"/>
      <c r="I61" s="1540"/>
      <c r="J61" s="1540"/>
      <c r="K61" s="1540"/>
      <c r="L61" s="1540"/>
      <c r="M61" s="1540"/>
      <c r="N61" s="1540"/>
      <c r="O61" s="1540"/>
    </row>
    <row r="62" spans="1:23" ht="12.45">
      <c r="A62" s="1540" t="s">
        <v>71</v>
      </c>
      <c r="B62" s="1540"/>
      <c r="C62" s="1540"/>
      <c r="D62" s="1540"/>
      <c r="E62" s="1540"/>
      <c r="F62" s="1540"/>
      <c r="G62" s="1540"/>
      <c r="H62" s="1540"/>
      <c r="I62" s="1540"/>
      <c r="J62" s="1540"/>
      <c r="K62" s="1540"/>
      <c r="L62" s="1540"/>
      <c r="M62" s="1540"/>
      <c r="N62" s="1540"/>
      <c r="O62" s="1540"/>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19.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81" t="s">
        <v>369</v>
      </c>
      <c r="B1" s="1782"/>
      <c r="C1" s="1782"/>
      <c r="D1" s="1783"/>
      <c r="E1" s="1018" t="s">
        <v>42</v>
      </c>
      <c r="F1" s="1784" t="s">
        <v>370</v>
      </c>
      <c r="G1" s="1785"/>
      <c r="H1" s="1786"/>
      <c r="I1" s="1018" t="s">
        <v>44</v>
      </c>
      <c r="J1" s="1787" t="s">
        <v>371</v>
      </c>
      <c r="K1" s="1785"/>
      <c r="L1" s="1786"/>
      <c r="M1" s="208"/>
    </row>
    <row r="2" spans="1:23" ht="15.05">
      <c r="A2" s="1069"/>
      <c r="B2" s="588"/>
      <c r="C2" s="588"/>
      <c r="D2" s="588"/>
      <c r="E2" s="1070"/>
      <c r="F2" s="192"/>
      <c r="G2" s="192"/>
      <c r="H2" s="192"/>
      <c r="I2" s="1070"/>
      <c r="J2" s="1071"/>
      <c r="K2" s="1072"/>
      <c r="L2" s="192"/>
      <c r="M2" s="208"/>
    </row>
    <row r="3" spans="1:23" ht="15.05">
      <c r="B3" s="89"/>
      <c r="C3" s="89"/>
      <c r="E3" s="1012" t="s">
        <v>372</v>
      </c>
      <c r="F3" s="1161">
        <v>21807</v>
      </c>
      <c r="G3" s="1168">
        <v>64</v>
      </c>
      <c r="H3" s="1012" t="s">
        <v>411</v>
      </c>
      <c r="I3" s="1168">
        <v>67</v>
      </c>
      <c r="J3" s="1016">
        <f>I3-G3</f>
        <v>3</v>
      </c>
      <c r="K3" s="1033" t="s">
        <v>47</v>
      </c>
      <c r="L3" s="192"/>
      <c r="Q3" s="89"/>
    </row>
    <row r="4" spans="1:23" ht="17.7">
      <c r="C4" s="1173">
        <f ca="1">TODAY()</f>
        <v>46198</v>
      </c>
      <c r="E4" s="1159">
        <v>0</v>
      </c>
      <c r="F4" s="1160">
        <v>0</v>
      </c>
      <c r="G4" s="1162">
        <v>0</v>
      </c>
      <c r="H4" s="1159">
        <v>0</v>
      </c>
      <c r="I4" s="1162">
        <v>0</v>
      </c>
      <c r="J4" s="971">
        <f>I4-G4</f>
        <v>0</v>
      </c>
      <c r="K4" s="1159" t="s">
        <v>47</v>
      </c>
    </row>
    <row r="5" spans="1:23" ht="20.3">
      <c r="C5" s="970">
        <v>2020</v>
      </c>
      <c r="D5" s="192"/>
      <c r="E5" s="925"/>
      <c r="F5" s="925"/>
      <c r="G5" s="925"/>
      <c r="H5" s="192"/>
      <c r="I5" s="969"/>
      <c r="J5" s="192"/>
      <c r="K5" s="192"/>
      <c r="L5" s="969"/>
      <c r="M5" s="371"/>
      <c r="N5" s="192"/>
      <c r="P5" s="89"/>
      <c r="Q5" s="89"/>
      <c r="R5" s="89"/>
      <c r="S5" s="89"/>
      <c r="T5" s="89"/>
      <c r="U5" s="89"/>
      <c r="V5" s="89"/>
      <c r="W5" s="89"/>
    </row>
    <row r="6" spans="1:23" ht="17.7">
      <c r="A6" s="1788" t="s">
        <v>375</v>
      </c>
      <c r="B6" s="1789"/>
      <c r="C6" s="1790"/>
      <c r="D6" s="1169">
        <v>61500</v>
      </c>
      <c r="E6" s="1791" t="s">
        <v>376</v>
      </c>
      <c r="F6" s="1741"/>
      <c r="G6" s="1015">
        <v>61500</v>
      </c>
      <c r="H6" s="968" t="s">
        <v>377</v>
      </c>
      <c r="J6" s="968" t="s">
        <v>377</v>
      </c>
      <c r="K6" s="974"/>
      <c r="N6" s="16"/>
      <c r="O6" s="16"/>
      <c r="P6" s="89"/>
      <c r="Q6" s="89"/>
      <c r="R6" s="89"/>
      <c r="S6" s="89"/>
      <c r="T6" s="89"/>
      <c r="U6" s="89"/>
      <c r="V6" s="89"/>
      <c r="W6" s="89"/>
    </row>
    <row r="7" spans="1:23" ht="17.7">
      <c r="A7" s="1777" t="s">
        <v>378</v>
      </c>
      <c r="B7" s="1778"/>
      <c r="C7" s="1779"/>
      <c r="D7" s="1163">
        <v>0</v>
      </c>
      <c r="E7" s="1780" t="s">
        <v>379</v>
      </c>
      <c r="F7" s="1736"/>
      <c r="G7" s="1015">
        <f>D7*12</f>
        <v>0</v>
      </c>
      <c r="H7" s="968" t="s">
        <v>204</v>
      </c>
      <c r="I7" s="1015">
        <f>G6+G7</f>
        <v>61500</v>
      </c>
      <c r="J7" s="968" t="s">
        <v>380</v>
      </c>
      <c r="K7" s="972">
        <f>G6+G7</f>
        <v>61500</v>
      </c>
      <c r="O7" s="16"/>
      <c r="P7" s="89"/>
      <c r="Q7" s="89"/>
      <c r="R7" s="89"/>
      <c r="S7" s="89"/>
      <c r="T7" s="89"/>
      <c r="U7" s="89"/>
      <c r="V7" s="89"/>
      <c r="W7" s="89"/>
    </row>
    <row r="10" spans="1:23" ht="17.7">
      <c r="A10" s="1524" t="s">
        <v>381</v>
      </c>
      <c r="B10" s="1524"/>
      <c r="C10" s="1524"/>
      <c r="D10" s="1524"/>
      <c r="E10" s="1010">
        <v>4166.67</v>
      </c>
      <c r="F10" s="965" t="s">
        <v>51</v>
      </c>
      <c r="G10" s="966">
        <f>E10*12</f>
        <v>50000.04</v>
      </c>
      <c r="H10" s="192"/>
      <c r="I10" s="973">
        <v>50000</v>
      </c>
      <c r="J10" s="1734"/>
      <c r="K10" s="1734"/>
      <c r="L10" s="1734"/>
      <c r="M10" s="1734"/>
      <c r="N10" s="1734"/>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8" customHeight="1">
      <c r="A12" s="1742" t="s">
        <v>383</v>
      </c>
      <c r="B12" s="1743"/>
      <c r="C12" s="1744"/>
      <c r="D12" s="1170">
        <v>2991</v>
      </c>
      <c r="E12" s="1013" t="s">
        <v>12</v>
      </c>
      <c r="F12" s="1013">
        <v>67</v>
      </c>
      <c r="G12" s="1745" t="s">
        <v>54</v>
      </c>
      <c r="H12" s="1746"/>
      <c r="I12" s="1021">
        <f>D12*12</f>
        <v>35892</v>
      </c>
      <c r="J12" s="1553" t="s">
        <v>55</v>
      </c>
      <c r="K12" s="1553"/>
      <c r="L12" s="1553"/>
      <c r="M12" s="1553"/>
      <c r="N12" s="1553"/>
      <c r="O12" s="1553"/>
    </row>
    <row r="13" spans="1:23" ht="17.7">
      <c r="A13" s="1796">
        <v>0</v>
      </c>
      <c r="B13" s="1757"/>
      <c r="C13" s="1758"/>
      <c r="D13" s="1171">
        <v>0</v>
      </c>
      <c r="E13" s="1164">
        <v>67</v>
      </c>
      <c r="F13" s="1164">
        <v>67</v>
      </c>
      <c r="G13" s="1759" t="s">
        <v>54</v>
      </c>
      <c r="H13" s="1760"/>
      <c r="I13" s="973">
        <f>D13*12</f>
        <v>0</v>
      </c>
      <c r="J13" s="1552" t="s">
        <v>412</v>
      </c>
      <c r="K13" s="1552"/>
      <c r="L13" s="1197"/>
      <c r="M13" s="31"/>
      <c r="N13" s="16"/>
      <c r="O13" s="1196"/>
    </row>
    <row r="14" spans="1:23" ht="17.55" customHeight="1">
      <c r="A14" s="1551"/>
      <c r="B14" s="1551"/>
      <c r="C14" s="1551"/>
      <c r="D14" s="1551"/>
      <c r="E14" s="1551"/>
      <c r="F14" s="1551"/>
      <c r="G14" s="1551"/>
      <c r="H14" s="1551"/>
      <c r="I14" s="1551"/>
      <c r="J14" s="1551"/>
      <c r="K14" s="1551"/>
      <c r="L14" s="1551"/>
      <c r="M14" s="1551"/>
      <c r="N14" s="1551"/>
      <c r="O14" s="1551"/>
      <c r="P14" s="89"/>
      <c r="Q14" s="89"/>
      <c r="R14" s="89"/>
      <c r="S14" s="89"/>
      <c r="T14" s="89"/>
      <c r="U14" s="89"/>
      <c r="V14" s="89"/>
      <c r="W14" s="89"/>
    </row>
    <row r="15" spans="1:23" ht="23.6">
      <c r="A15" s="1541" t="s">
        <v>385</v>
      </c>
      <c r="B15" s="1541"/>
      <c r="C15" s="1541"/>
      <c r="D15" s="1541"/>
      <c r="E15" s="1541"/>
      <c r="F15" s="1541"/>
      <c r="G15" s="1541"/>
      <c r="H15" s="1541"/>
      <c r="I15" s="1541"/>
      <c r="J15" s="1541"/>
      <c r="K15" s="1541"/>
      <c r="L15" s="1541"/>
      <c r="M15" s="1541"/>
      <c r="N15" s="1541"/>
      <c r="O15" s="1542"/>
      <c r="P15" s="89"/>
      <c r="Q15" s="89"/>
      <c r="R15" s="89"/>
      <c r="S15" s="89"/>
      <c r="T15" s="89"/>
      <c r="U15" s="89"/>
      <c r="V15" s="89"/>
      <c r="W15" s="89"/>
    </row>
    <row r="16" spans="1:23"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110"/>
      <c r="B17" s="1110"/>
      <c r="C17" s="1110"/>
      <c r="D17" s="1027" t="s">
        <v>413</v>
      </c>
      <c r="E17" s="36" t="s">
        <v>420</v>
      </c>
      <c r="F17" s="36" t="s">
        <v>417</v>
      </c>
      <c r="G17" s="36"/>
      <c r="H17" s="36"/>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285">
        <v>22251</v>
      </c>
      <c r="G19" s="1006"/>
      <c r="H19" s="1154"/>
      <c r="I19" s="1154"/>
      <c r="J19" s="1154"/>
      <c r="K19" s="1154"/>
      <c r="L19" s="1154"/>
      <c r="M19" s="992"/>
      <c r="N19" s="992"/>
      <c r="O19" s="993"/>
    </row>
    <row r="20" spans="1:23">
      <c r="A20" s="1811"/>
      <c r="B20" s="1811"/>
      <c r="C20" s="1812"/>
      <c r="D20" s="976">
        <f>F12</f>
        <v>67</v>
      </c>
      <c r="E20" s="976">
        <v>67</v>
      </c>
      <c r="F20" s="976"/>
      <c r="G20" s="976"/>
      <c r="H20" s="1155"/>
      <c r="I20" s="1105"/>
      <c r="J20" s="1105"/>
      <c r="K20" s="1105"/>
      <c r="L20" s="1105"/>
      <c r="M20" s="990"/>
      <c r="N20" s="989"/>
      <c r="O20" s="994"/>
    </row>
    <row r="21" spans="1:23" ht="16.05" customHeight="1">
      <c r="A21" s="1749" t="s">
        <v>26</v>
      </c>
      <c r="B21" s="1813" t="s">
        <v>390</v>
      </c>
      <c r="C21" s="1753" t="s">
        <v>59</v>
      </c>
      <c r="D21" s="975">
        <f>I12</f>
        <v>35892</v>
      </c>
      <c r="E21" s="975">
        <v>211910</v>
      </c>
      <c r="F21" s="975"/>
      <c r="G21" s="975"/>
      <c r="H21" s="975"/>
      <c r="I21" s="975"/>
      <c r="J21" s="975"/>
      <c r="K21" s="975"/>
      <c r="L21" s="975"/>
      <c r="M21" s="990"/>
      <c r="N21" s="989"/>
      <c r="O21" s="994"/>
    </row>
    <row r="22" spans="1:23" ht="16.05" customHeight="1">
      <c r="A22" s="1750"/>
      <c r="B22" s="1814"/>
      <c r="C22" s="1754"/>
      <c r="D22" s="1651"/>
      <c r="E22" s="1651"/>
      <c r="F22" s="1651"/>
      <c r="G22" s="1651"/>
      <c r="H22" s="1651"/>
      <c r="I22" s="1651"/>
      <c r="J22" s="1651"/>
      <c r="K22" s="1651"/>
      <c r="L22" s="1755"/>
      <c r="M22" s="991"/>
      <c r="N22" s="208"/>
      <c r="O22" s="995"/>
    </row>
    <row r="23" spans="1:23" ht="15.05">
      <c r="A23" s="979" t="s">
        <v>415</v>
      </c>
      <c r="B23" s="604">
        <v>65</v>
      </c>
      <c r="C23" s="148">
        <v>0</v>
      </c>
      <c r="D23" s="982">
        <v>0</v>
      </c>
      <c r="E23" s="982">
        <v>0</v>
      </c>
      <c r="F23" s="982">
        <v>0</v>
      </c>
      <c r="G23" s="1111">
        <v>0</v>
      </c>
      <c r="H23" s="982">
        <v>0</v>
      </c>
      <c r="I23" s="982">
        <v>0</v>
      </c>
      <c r="J23" s="982">
        <v>0</v>
      </c>
      <c r="K23" s="982">
        <v>0</v>
      </c>
      <c r="L23" s="982">
        <v>0</v>
      </c>
      <c r="M23" s="980">
        <f>D23+E23+F23+G23+H23+I23+J23+K23+L23</f>
        <v>0</v>
      </c>
      <c r="N23" s="1198">
        <f>I10</f>
        <v>50000</v>
      </c>
      <c r="O23" s="1157">
        <f>M23-N24</f>
        <v>-50000</v>
      </c>
    </row>
    <row r="24" spans="1:23" ht="14.4">
      <c r="A24" s="119">
        <f t="shared" ref="A24:C39" si="0">A23+1</f>
        <v>2025</v>
      </c>
      <c r="B24" s="602">
        <f t="shared" si="0"/>
        <v>66</v>
      </c>
      <c r="C24" s="603">
        <f t="shared" si="0"/>
        <v>1</v>
      </c>
      <c r="D24" s="982">
        <v>0</v>
      </c>
      <c r="E24" s="982">
        <v>0</v>
      </c>
      <c r="F24" s="982">
        <v>0</v>
      </c>
      <c r="G24" s="1111">
        <v>0</v>
      </c>
      <c r="H24" s="982">
        <v>0</v>
      </c>
      <c r="I24" s="982">
        <v>0</v>
      </c>
      <c r="J24" s="982">
        <v>0</v>
      </c>
      <c r="K24" s="982">
        <v>0</v>
      </c>
      <c r="L24" s="982">
        <v>0</v>
      </c>
      <c r="M24" s="980">
        <f t="shared" ref="M24:M40" si="1">D24+E24+F24+G24+H24+I24+J24+K24+L24</f>
        <v>0</v>
      </c>
      <c r="N24" s="967">
        <f>I10</f>
        <v>50000</v>
      </c>
      <c r="O24" s="977">
        <f t="shared" ref="O24:O51" si="2">M24-N25</f>
        <v>-50000</v>
      </c>
    </row>
    <row r="25" spans="1:23" ht="14.4">
      <c r="A25" s="155">
        <f t="shared" si="0"/>
        <v>2026</v>
      </c>
      <c r="B25" s="1281">
        <f t="shared" si="0"/>
        <v>67</v>
      </c>
      <c r="C25" s="148">
        <f t="shared" si="0"/>
        <v>2</v>
      </c>
      <c r="D25" s="982">
        <v>35892</v>
      </c>
      <c r="E25" s="982">
        <v>11125</v>
      </c>
      <c r="F25" s="982">
        <v>0</v>
      </c>
      <c r="G25" s="1111">
        <v>0</v>
      </c>
      <c r="H25" s="982">
        <v>0</v>
      </c>
      <c r="I25" s="982">
        <v>0</v>
      </c>
      <c r="J25" s="982">
        <v>0</v>
      </c>
      <c r="K25" s="982">
        <v>0</v>
      </c>
      <c r="L25" s="982">
        <v>0</v>
      </c>
      <c r="M25" s="980">
        <f t="shared" si="1"/>
        <v>47017</v>
      </c>
      <c r="N25" s="967">
        <f>I10</f>
        <v>50000</v>
      </c>
      <c r="O25" s="977">
        <f t="shared" si="2"/>
        <v>-2983</v>
      </c>
    </row>
    <row r="26" spans="1:23" ht="14.4">
      <c r="A26" s="119">
        <f t="shared" si="0"/>
        <v>2027</v>
      </c>
      <c r="B26" s="706">
        <f t="shared" si="0"/>
        <v>68</v>
      </c>
      <c r="C26" s="706">
        <f t="shared" si="0"/>
        <v>3</v>
      </c>
      <c r="D26" s="982">
        <f>D25*1.02</f>
        <v>36609.840000000004</v>
      </c>
      <c r="E26" s="982">
        <v>11125</v>
      </c>
      <c r="F26" s="982">
        <v>0</v>
      </c>
      <c r="G26" s="1111">
        <v>0</v>
      </c>
      <c r="H26" s="982">
        <v>0</v>
      </c>
      <c r="I26" s="982">
        <v>0</v>
      </c>
      <c r="J26" s="982">
        <v>0</v>
      </c>
      <c r="K26" s="982">
        <v>0</v>
      </c>
      <c r="L26" s="982">
        <v>0</v>
      </c>
      <c r="M26" s="980">
        <f t="shared" si="1"/>
        <v>47734.840000000004</v>
      </c>
      <c r="N26" s="967">
        <f>I10</f>
        <v>50000</v>
      </c>
      <c r="O26" s="977">
        <f t="shared" si="2"/>
        <v>-2265.1599999999962</v>
      </c>
    </row>
    <row r="27" spans="1:23" ht="14.4">
      <c r="A27" s="119">
        <f t="shared" si="0"/>
        <v>2028</v>
      </c>
      <c r="B27" s="148">
        <f t="shared" si="0"/>
        <v>69</v>
      </c>
      <c r="C27" s="148">
        <f t="shared" si="0"/>
        <v>4</v>
      </c>
      <c r="D27" s="982">
        <f t="shared" ref="D27:D44" si="3">D26*1.02</f>
        <v>37342.036800000002</v>
      </c>
      <c r="E27" s="982">
        <v>11125</v>
      </c>
      <c r="F27" s="982">
        <v>0</v>
      </c>
      <c r="G27" s="1111">
        <v>0</v>
      </c>
      <c r="H27" s="982">
        <v>0</v>
      </c>
      <c r="I27" s="982">
        <v>0</v>
      </c>
      <c r="J27" s="982">
        <v>0</v>
      </c>
      <c r="K27" s="982">
        <v>0</v>
      </c>
      <c r="L27" s="982">
        <v>0</v>
      </c>
      <c r="M27" s="980">
        <f t="shared" si="1"/>
        <v>48467.036800000002</v>
      </c>
      <c r="N27" s="967">
        <f>I10</f>
        <v>50000</v>
      </c>
      <c r="O27" s="977">
        <f t="shared" si="2"/>
        <v>-1532.9631999999983</v>
      </c>
    </row>
    <row r="28" spans="1:23" ht="14.4">
      <c r="A28" s="119">
        <f t="shared" si="0"/>
        <v>2029</v>
      </c>
      <c r="B28" s="602">
        <f t="shared" si="0"/>
        <v>70</v>
      </c>
      <c r="C28" s="602">
        <f t="shared" si="0"/>
        <v>5</v>
      </c>
      <c r="D28" s="982">
        <f t="shared" si="3"/>
        <v>38088.877536</v>
      </c>
      <c r="E28" s="982">
        <v>11125</v>
      </c>
      <c r="F28" s="982">
        <v>0</v>
      </c>
      <c r="G28" s="1111">
        <v>0</v>
      </c>
      <c r="H28" s="982">
        <v>0</v>
      </c>
      <c r="I28" s="982">
        <v>0</v>
      </c>
      <c r="J28" s="982">
        <v>0</v>
      </c>
      <c r="K28" s="982">
        <v>0</v>
      </c>
      <c r="L28" s="982">
        <v>0</v>
      </c>
      <c r="M28" s="980">
        <f t="shared" si="1"/>
        <v>49213.877536</v>
      </c>
      <c r="N28" s="967">
        <f>I10</f>
        <v>50000</v>
      </c>
      <c r="O28" s="977">
        <f t="shared" si="2"/>
        <v>-786.12246400000004</v>
      </c>
    </row>
    <row r="29" spans="1:23" ht="14.4">
      <c r="A29" s="155">
        <f t="shared" si="0"/>
        <v>2030</v>
      </c>
      <c r="B29" s="148">
        <f t="shared" si="0"/>
        <v>71</v>
      </c>
      <c r="C29" s="148">
        <f t="shared" si="0"/>
        <v>6</v>
      </c>
      <c r="D29" s="982">
        <f t="shared" si="3"/>
        <v>38850.655086719999</v>
      </c>
      <c r="E29" s="982">
        <v>11125</v>
      </c>
      <c r="F29" s="982">
        <v>0</v>
      </c>
      <c r="G29" s="1111">
        <v>0</v>
      </c>
      <c r="H29" s="982">
        <v>0</v>
      </c>
      <c r="I29" s="982">
        <v>0</v>
      </c>
      <c r="J29" s="982">
        <v>0</v>
      </c>
      <c r="K29" s="982">
        <v>0</v>
      </c>
      <c r="L29" s="982">
        <v>0</v>
      </c>
      <c r="M29" s="980">
        <f t="shared" si="1"/>
        <v>49975.655086719999</v>
      </c>
      <c r="N29" s="967">
        <f>I10</f>
        <v>50000</v>
      </c>
      <c r="O29" s="977">
        <f t="shared" si="2"/>
        <v>-24.344913280001492</v>
      </c>
    </row>
    <row r="30" spans="1:23" ht="14.4">
      <c r="A30" s="119">
        <f t="shared" si="0"/>
        <v>2031</v>
      </c>
      <c r="B30" s="706">
        <f t="shared" si="0"/>
        <v>72</v>
      </c>
      <c r="C30" s="706">
        <f t="shared" si="0"/>
        <v>7</v>
      </c>
      <c r="D30" s="982">
        <f t="shared" si="3"/>
        <v>39627.668188454401</v>
      </c>
      <c r="E30" s="982">
        <v>11125</v>
      </c>
      <c r="F30" s="982">
        <v>0</v>
      </c>
      <c r="G30" s="1111">
        <v>0</v>
      </c>
      <c r="H30" s="982">
        <v>0</v>
      </c>
      <c r="I30" s="982">
        <v>0</v>
      </c>
      <c r="J30" s="982">
        <v>0</v>
      </c>
      <c r="K30" s="982">
        <v>0</v>
      </c>
      <c r="L30" s="982">
        <v>0</v>
      </c>
      <c r="M30" s="980">
        <f t="shared" si="1"/>
        <v>50752.668188454401</v>
      </c>
      <c r="N30" s="967">
        <f>I10</f>
        <v>50000</v>
      </c>
      <c r="O30" s="977">
        <f t="shared" si="2"/>
        <v>752.66818845440139</v>
      </c>
    </row>
    <row r="31" spans="1:23" ht="14.4">
      <c r="A31" s="119">
        <f t="shared" si="0"/>
        <v>2032</v>
      </c>
      <c r="B31" s="148">
        <f t="shared" si="0"/>
        <v>73</v>
      </c>
      <c r="C31" s="148">
        <f t="shared" si="0"/>
        <v>8</v>
      </c>
      <c r="D31" s="982">
        <f t="shared" si="3"/>
        <v>40420.221552223491</v>
      </c>
      <c r="E31" s="982">
        <v>11125</v>
      </c>
      <c r="F31" s="982">
        <v>0</v>
      </c>
      <c r="G31" s="1111">
        <v>0</v>
      </c>
      <c r="H31" s="982">
        <v>0</v>
      </c>
      <c r="I31" s="982">
        <v>0</v>
      </c>
      <c r="J31" s="982">
        <v>0</v>
      </c>
      <c r="K31" s="982">
        <v>0</v>
      </c>
      <c r="L31" s="982">
        <v>0</v>
      </c>
      <c r="M31" s="980">
        <f t="shared" si="1"/>
        <v>51545.221552223491</v>
      </c>
      <c r="N31" s="967">
        <f>I10</f>
        <v>50000</v>
      </c>
      <c r="O31" s="977">
        <f t="shared" si="2"/>
        <v>1545.221552223491</v>
      </c>
    </row>
    <row r="32" spans="1:23" ht="14.4">
      <c r="A32" s="119">
        <f t="shared" si="0"/>
        <v>2033</v>
      </c>
      <c r="B32" s="148">
        <f t="shared" si="0"/>
        <v>74</v>
      </c>
      <c r="C32" s="148">
        <f t="shared" si="0"/>
        <v>9</v>
      </c>
      <c r="D32" s="982">
        <f t="shared" si="3"/>
        <v>41228.625983267964</v>
      </c>
      <c r="E32" s="982">
        <v>11125</v>
      </c>
      <c r="F32" s="982">
        <v>0</v>
      </c>
      <c r="G32" s="1111">
        <v>0</v>
      </c>
      <c r="H32" s="982">
        <v>0</v>
      </c>
      <c r="I32" s="982">
        <v>0</v>
      </c>
      <c r="J32" s="982">
        <v>0</v>
      </c>
      <c r="K32" s="982">
        <v>0</v>
      </c>
      <c r="L32" s="982">
        <v>0</v>
      </c>
      <c r="M32" s="980">
        <f t="shared" si="1"/>
        <v>52353.625983267964</v>
      </c>
      <c r="N32" s="967">
        <f>I10</f>
        <v>50000</v>
      </c>
      <c r="O32" s="977">
        <f t="shared" si="2"/>
        <v>2353.6259832679643</v>
      </c>
    </row>
    <row r="33" spans="1:15" ht="14.4">
      <c r="A33" s="119">
        <f t="shared" si="0"/>
        <v>2034</v>
      </c>
      <c r="B33" s="148">
        <f t="shared" si="0"/>
        <v>75</v>
      </c>
      <c r="C33" s="148">
        <f t="shared" si="0"/>
        <v>10</v>
      </c>
      <c r="D33" s="982">
        <f t="shared" si="3"/>
        <v>42053.198502933323</v>
      </c>
      <c r="E33" s="982">
        <v>11125</v>
      </c>
      <c r="F33" s="982">
        <v>0</v>
      </c>
      <c r="G33" s="1111">
        <v>0</v>
      </c>
      <c r="H33" s="982">
        <v>0</v>
      </c>
      <c r="I33" s="982">
        <v>0</v>
      </c>
      <c r="J33" s="982">
        <v>0</v>
      </c>
      <c r="K33" s="982">
        <v>0</v>
      </c>
      <c r="L33" s="982">
        <v>0</v>
      </c>
      <c r="M33" s="980">
        <f t="shared" si="1"/>
        <v>53178.198502933323</v>
      </c>
      <c r="N33" s="967">
        <f>I10</f>
        <v>50000</v>
      </c>
      <c r="O33" s="977">
        <f t="shared" si="2"/>
        <v>3178.1985029333227</v>
      </c>
    </row>
    <row r="34" spans="1:15" ht="14.4">
      <c r="A34" s="119">
        <f t="shared" si="0"/>
        <v>2035</v>
      </c>
      <c r="B34" s="148">
        <f t="shared" si="0"/>
        <v>76</v>
      </c>
      <c r="C34" s="148">
        <f t="shared" si="0"/>
        <v>11</v>
      </c>
      <c r="D34" s="982">
        <f t="shared" si="3"/>
        <v>42894.262472991992</v>
      </c>
      <c r="E34" s="982">
        <v>11125</v>
      </c>
      <c r="F34" s="982">
        <v>0</v>
      </c>
      <c r="G34" s="1111">
        <v>0</v>
      </c>
      <c r="H34" s="982">
        <v>0</v>
      </c>
      <c r="I34" s="982">
        <v>0</v>
      </c>
      <c r="J34" s="982">
        <v>0</v>
      </c>
      <c r="K34" s="982">
        <v>0</v>
      </c>
      <c r="L34" s="982">
        <v>0</v>
      </c>
      <c r="M34" s="980">
        <f t="shared" si="1"/>
        <v>54019.262472991992</v>
      </c>
      <c r="N34" s="967">
        <f>I10</f>
        <v>50000</v>
      </c>
      <c r="O34" s="977">
        <f t="shared" si="2"/>
        <v>4019.2624729919917</v>
      </c>
    </row>
    <row r="35" spans="1:15" ht="14.4">
      <c r="A35" s="119">
        <f t="shared" si="0"/>
        <v>2036</v>
      </c>
      <c r="B35" s="148">
        <f t="shared" si="0"/>
        <v>77</v>
      </c>
      <c r="C35" s="148">
        <f t="shared" si="0"/>
        <v>12</v>
      </c>
      <c r="D35" s="982">
        <f t="shared" si="3"/>
        <v>43752.147722451831</v>
      </c>
      <c r="E35" s="982">
        <v>11125</v>
      </c>
      <c r="F35" s="982">
        <v>0</v>
      </c>
      <c r="G35" s="1111">
        <v>0</v>
      </c>
      <c r="H35" s="982">
        <v>0</v>
      </c>
      <c r="I35" s="982">
        <v>0</v>
      </c>
      <c r="J35" s="982">
        <v>0</v>
      </c>
      <c r="K35" s="982">
        <v>0</v>
      </c>
      <c r="L35" s="982">
        <v>0</v>
      </c>
      <c r="M35" s="980">
        <f t="shared" si="1"/>
        <v>54877.147722451831</v>
      </c>
      <c r="N35" s="967">
        <f>I10</f>
        <v>50000</v>
      </c>
      <c r="O35" s="977">
        <f t="shared" si="2"/>
        <v>4877.1477224518312</v>
      </c>
    </row>
    <row r="36" spans="1:15" ht="14.4">
      <c r="A36" s="119">
        <f t="shared" si="0"/>
        <v>2037</v>
      </c>
      <c r="B36" s="148">
        <f t="shared" si="0"/>
        <v>78</v>
      </c>
      <c r="C36" s="148">
        <f t="shared" si="0"/>
        <v>13</v>
      </c>
      <c r="D36" s="982">
        <f t="shared" si="3"/>
        <v>44627.190676900871</v>
      </c>
      <c r="E36" s="982">
        <v>11125</v>
      </c>
      <c r="F36" s="982">
        <v>0</v>
      </c>
      <c r="G36" s="1111">
        <v>0</v>
      </c>
      <c r="H36" s="982">
        <v>0</v>
      </c>
      <c r="I36" s="982">
        <v>0</v>
      </c>
      <c r="J36" s="982">
        <v>0</v>
      </c>
      <c r="K36" s="982">
        <v>0</v>
      </c>
      <c r="L36" s="982">
        <v>0</v>
      </c>
      <c r="M36" s="980">
        <f t="shared" si="1"/>
        <v>55752.190676900871</v>
      </c>
      <c r="N36" s="967">
        <f>I10</f>
        <v>50000</v>
      </c>
      <c r="O36" s="977">
        <f t="shared" si="2"/>
        <v>5752.190676900871</v>
      </c>
    </row>
    <row r="37" spans="1:15" ht="14.4">
      <c r="A37" s="119">
        <f t="shared" si="0"/>
        <v>2038</v>
      </c>
      <c r="B37" s="148">
        <f t="shared" si="0"/>
        <v>79</v>
      </c>
      <c r="C37" s="148">
        <f t="shared" si="0"/>
        <v>14</v>
      </c>
      <c r="D37" s="982">
        <f t="shared" si="3"/>
        <v>45519.734490438888</v>
      </c>
      <c r="E37" s="982">
        <v>11125</v>
      </c>
      <c r="F37" s="982">
        <v>0</v>
      </c>
      <c r="G37" s="1111">
        <v>0</v>
      </c>
      <c r="H37" s="982">
        <v>0</v>
      </c>
      <c r="I37" s="982">
        <v>0</v>
      </c>
      <c r="J37" s="982">
        <v>0</v>
      </c>
      <c r="K37" s="982">
        <v>0</v>
      </c>
      <c r="L37" s="982">
        <v>0</v>
      </c>
      <c r="M37" s="980">
        <f t="shared" si="1"/>
        <v>56644.734490438888</v>
      </c>
      <c r="N37" s="967">
        <f>I10</f>
        <v>50000</v>
      </c>
      <c r="O37" s="977">
        <f t="shared" si="2"/>
        <v>6644.7344904388883</v>
      </c>
    </row>
    <row r="38" spans="1:15" ht="14.4">
      <c r="A38" s="155">
        <f t="shared" si="0"/>
        <v>2039</v>
      </c>
      <c r="B38" s="148">
        <f t="shared" si="0"/>
        <v>80</v>
      </c>
      <c r="C38" s="1165">
        <f t="shared" si="0"/>
        <v>15</v>
      </c>
      <c r="D38" s="982">
        <f t="shared" si="3"/>
        <v>46430.12918024767</v>
      </c>
      <c r="E38" s="982">
        <v>11125</v>
      </c>
      <c r="F38" s="982">
        <v>0</v>
      </c>
      <c r="G38" s="1111">
        <v>0</v>
      </c>
      <c r="H38" s="982">
        <v>0</v>
      </c>
      <c r="I38" s="982">
        <v>0</v>
      </c>
      <c r="J38" s="982">
        <v>0</v>
      </c>
      <c r="K38" s="982">
        <v>0</v>
      </c>
      <c r="L38" s="982">
        <v>0</v>
      </c>
      <c r="M38" s="980">
        <f t="shared" si="1"/>
        <v>57555.12918024767</v>
      </c>
      <c r="N38" s="967">
        <f>I10</f>
        <v>50000</v>
      </c>
      <c r="O38" s="977">
        <f t="shared" si="2"/>
        <v>7555.1291802476699</v>
      </c>
    </row>
    <row r="39" spans="1:15" ht="14.4">
      <c r="A39" s="119">
        <f t="shared" si="0"/>
        <v>2040</v>
      </c>
      <c r="B39" s="706">
        <f t="shared" si="0"/>
        <v>81</v>
      </c>
      <c r="C39" s="148">
        <f t="shared" si="0"/>
        <v>16</v>
      </c>
      <c r="D39" s="982">
        <f t="shared" si="3"/>
        <v>47358.731763852622</v>
      </c>
      <c r="E39" s="982">
        <v>11125</v>
      </c>
      <c r="F39" s="982">
        <v>0</v>
      </c>
      <c r="G39" s="1111">
        <v>0</v>
      </c>
      <c r="H39" s="982">
        <v>0</v>
      </c>
      <c r="I39" s="982">
        <v>0</v>
      </c>
      <c r="J39" s="982">
        <v>0</v>
      </c>
      <c r="K39" s="982">
        <v>0</v>
      </c>
      <c r="L39" s="982">
        <v>0</v>
      </c>
      <c r="M39" s="980">
        <f t="shared" si="1"/>
        <v>58483.731763852622</v>
      </c>
      <c r="N39" s="967">
        <f>I10</f>
        <v>50000</v>
      </c>
      <c r="O39" s="977">
        <f t="shared" si="2"/>
        <v>8483.731763852622</v>
      </c>
    </row>
    <row r="40" spans="1:15" ht="14.4">
      <c r="A40" s="119">
        <f t="shared" ref="A40:C52" si="4">A39+1</f>
        <v>2041</v>
      </c>
      <c r="B40" s="148">
        <f t="shared" si="4"/>
        <v>82</v>
      </c>
      <c r="C40" s="148">
        <f t="shared" si="4"/>
        <v>17</v>
      </c>
      <c r="D40" s="982">
        <f t="shared" si="3"/>
        <v>48305.906399129672</v>
      </c>
      <c r="E40" s="982">
        <v>11125</v>
      </c>
      <c r="F40" s="982">
        <v>0</v>
      </c>
      <c r="G40" s="1111">
        <v>0</v>
      </c>
      <c r="H40" s="982">
        <v>0</v>
      </c>
      <c r="I40" s="982">
        <v>0</v>
      </c>
      <c r="J40" s="982">
        <v>0</v>
      </c>
      <c r="K40" s="982">
        <v>0</v>
      </c>
      <c r="L40" s="982">
        <v>0</v>
      </c>
      <c r="M40" s="980">
        <f t="shared" si="1"/>
        <v>59430.906399129672</v>
      </c>
      <c r="N40" s="967">
        <f>I10</f>
        <v>50000</v>
      </c>
      <c r="O40" s="977">
        <f>M40-N41</f>
        <v>9430.9063991296716</v>
      </c>
    </row>
    <row r="41" spans="1:15" ht="14.4">
      <c r="A41" s="119">
        <f>A40+1</f>
        <v>2042</v>
      </c>
      <c r="B41" s="148">
        <f>B40+1</f>
        <v>83</v>
      </c>
      <c r="C41" s="148">
        <f>C40+1</f>
        <v>18</v>
      </c>
      <c r="D41" s="982">
        <f t="shared" si="3"/>
        <v>49272.024527112269</v>
      </c>
      <c r="E41" s="982">
        <v>11125</v>
      </c>
      <c r="F41" s="982">
        <v>0</v>
      </c>
      <c r="G41" s="1111">
        <v>0</v>
      </c>
      <c r="H41" s="982">
        <v>0</v>
      </c>
      <c r="I41" s="982">
        <v>0</v>
      </c>
      <c r="J41" s="982">
        <v>0</v>
      </c>
      <c r="K41" s="982">
        <v>0</v>
      </c>
      <c r="L41" s="982">
        <v>0</v>
      </c>
      <c r="M41" s="981">
        <f t="shared" ref="M41:M57" si="5">SUM(D41+E41+F41+G41+H41+I41+J41+L41)</f>
        <v>60397.024527112269</v>
      </c>
      <c r="N41" s="967">
        <f>I10</f>
        <v>50000</v>
      </c>
      <c r="O41" s="977">
        <f t="shared" si="2"/>
        <v>10397.024527112269</v>
      </c>
    </row>
    <row r="42" spans="1:15" ht="14.4">
      <c r="A42" s="119">
        <f t="shared" si="4"/>
        <v>2043</v>
      </c>
      <c r="B42" s="148">
        <f t="shared" si="4"/>
        <v>84</v>
      </c>
      <c r="C42" s="148">
        <f t="shared" si="4"/>
        <v>19</v>
      </c>
      <c r="D42" s="982">
        <f t="shared" si="3"/>
        <v>50257.465017654518</v>
      </c>
      <c r="E42" s="982">
        <v>11125</v>
      </c>
      <c r="F42" s="982">
        <v>0</v>
      </c>
      <c r="G42" s="1111">
        <v>0</v>
      </c>
      <c r="H42" s="982">
        <v>0</v>
      </c>
      <c r="I42" s="982">
        <v>0</v>
      </c>
      <c r="J42" s="982">
        <v>0</v>
      </c>
      <c r="K42" s="982">
        <v>0</v>
      </c>
      <c r="L42" s="982">
        <v>0</v>
      </c>
      <c r="M42" s="982">
        <f t="shared" si="5"/>
        <v>61382.465017654518</v>
      </c>
      <c r="N42" s="967">
        <f>I10</f>
        <v>50000</v>
      </c>
      <c r="O42" s="977">
        <f t="shared" si="2"/>
        <v>11382.465017654518</v>
      </c>
    </row>
    <row r="43" spans="1:15" ht="14.4">
      <c r="A43" s="119">
        <f t="shared" si="4"/>
        <v>2044</v>
      </c>
      <c r="B43" s="148">
        <f t="shared" si="4"/>
        <v>85</v>
      </c>
      <c r="C43" s="148">
        <f t="shared" si="4"/>
        <v>20</v>
      </c>
      <c r="D43" s="982">
        <f t="shared" si="3"/>
        <v>51262.614318007611</v>
      </c>
      <c r="E43" s="982">
        <v>11125</v>
      </c>
      <c r="F43" s="982">
        <v>0</v>
      </c>
      <c r="G43" s="1111">
        <v>0</v>
      </c>
      <c r="H43" s="982">
        <v>0</v>
      </c>
      <c r="I43" s="982">
        <v>0</v>
      </c>
      <c r="J43" s="982">
        <v>0</v>
      </c>
      <c r="K43" s="982">
        <v>0</v>
      </c>
      <c r="L43" s="982">
        <v>0</v>
      </c>
      <c r="M43" s="980">
        <f t="shared" si="5"/>
        <v>62387.614318007611</v>
      </c>
      <c r="N43" s="967">
        <f>I10</f>
        <v>50000</v>
      </c>
      <c r="O43" s="977">
        <f t="shared" si="2"/>
        <v>12387.614318007611</v>
      </c>
    </row>
    <row r="44" spans="1:15" ht="14.4">
      <c r="A44" s="119">
        <f t="shared" si="4"/>
        <v>2045</v>
      </c>
      <c r="B44" s="148">
        <f t="shared" si="4"/>
        <v>86</v>
      </c>
      <c r="C44" s="148">
        <f t="shared" si="4"/>
        <v>21</v>
      </c>
      <c r="D44" s="982">
        <f t="shared" si="3"/>
        <v>52287.866604367766</v>
      </c>
      <c r="E44" s="982">
        <v>11125</v>
      </c>
      <c r="F44" s="982">
        <v>0</v>
      </c>
      <c r="G44" s="1111">
        <v>0</v>
      </c>
      <c r="H44" s="982">
        <v>0</v>
      </c>
      <c r="I44" s="982">
        <v>0</v>
      </c>
      <c r="J44" s="982">
        <v>0</v>
      </c>
      <c r="K44" s="982">
        <v>0</v>
      </c>
      <c r="L44" s="982">
        <v>0</v>
      </c>
      <c r="M44" s="980">
        <f t="shared" si="5"/>
        <v>63412.866604367766</v>
      </c>
      <c r="N44" s="967">
        <f>I10</f>
        <v>50000</v>
      </c>
      <c r="O44" s="977">
        <f>M44-N49</f>
        <v>63412.866604367766</v>
      </c>
    </row>
    <row r="45" spans="1:15" ht="12.45">
      <c r="A45" s="1762"/>
      <c r="B45" s="1763"/>
      <c r="C45" s="1763"/>
      <c r="D45" s="1763"/>
      <c r="E45" s="1763"/>
      <c r="F45" s="1763"/>
      <c r="G45" s="1763"/>
      <c r="H45" s="1763"/>
      <c r="I45" s="1763"/>
      <c r="J45" s="1763"/>
      <c r="K45" s="1763"/>
      <c r="L45" s="1763"/>
      <c r="M45" s="1763"/>
      <c r="N45" s="1763"/>
      <c r="O45" s="1764"/>
    </row>
    <row r="46" spans="1:15" ht="23.6">
      <c r="A46" s="1765" t="s">
        <v>391</v>
      </c>
      <c r="B46" s="1766"/>
      <c r="C46" s="1766"/>
      <c r="D46" s="1766"/>
      <c r="E46" s="1766"/>
      <c r="F46" s="1766"/>
      <c r="G46" s="1766"/>
      <c r="H46" s="1766"/>
      <c r="I46" s="1766"/>
      <c r="J46" s="1766"/>
      <c r="K46" s="1766"/>
      <c r="L46" s="1766"/>
      <c r="M46" s="1766"/>
      <c r="N46" s="1766"/>
      <c r="O46" s="1766"/>
    </row>
    <row r="47" spans="1:15" ht="14.4">
      <c r="A47" s="1283"/>
      <c r="B47" s="1282"/>
      <c r="C47" s="1282"/>
      <c r="D47" s="1047"/>
      <c r="E47" s="1047"/>
      <c r="F47" s="1047"/>
      <c r="G47" s="1047"/>
      <c r="H47" s="1047"/>
      <c r="I47" s="1047"/>
      <c r="J47" s="1047"/>
      <c r="K47" s="1047"/>
      <c r="L47" s="1047"/>
      <c r="M47" s="1047"/>
      <c r="N47" s="1048"/>
      <c r="O47" s="1049"/>
    </row>
    <row r="48" spans="1:15" ht="18.350000000000001">
      <c r="A48" s="1799" t="s">
        <v>392</v>
      </c>
      <c r="B48" s="1800"/>
      <c r="C48" s="1801"/>
      <c r="D48" s="1801"/>
      <c r="E48" s="1801"/>
      <c r="F48" s="1801"/>
      <c r="G48" s="1801"/>
      <c r="H48" s="1801"/>
      <c r="I48" s="1801"/>
      <c r="J48" s="1801"/>
      <c r="K48" s="1801"/>
      <c r="L48" s="1801"/>
      <c r="M48" s="1801"/>
      <c r="N48" s="1801"/>
      <c r="O48" s="1802"/>
    </row>
    <row r="49" spans="1:23" ht="14.4">
      <c r="A49" s="1055">
        <f>A44+1</f>
        <v>2046</v>
      </c>
      <c r="B49" s="1199">
        <f>B44+1</f>
        <v>87</v>
      </c>
      <c r="C49" s="1166">
        <f>C44+1</f>
        <v>22</v>
      </c>
      <c r="D49" s="982">
        <v>0</v>
      </c>
      <c r="E49" s="982">
        <v>0</v>
      </c>
      <c r="F49" s="982">
        <v>0</v>
      </c>
      <c r="G49" s="982">
        <v>0</v>
      </c>
      <c r="H49" s="982">
        <v>0</v>
      </c>
      <c r="I49" s="982">
        <v>0</v>
      </c>
      <c r="J49" s="982">
        <v>0</v>
      </c>
      <c r="K49" s="982">
        <v>0</v>
      </c>
      <c r="L49" s="982">
        <v>0</v>
      </c>
      <c r="M49" s="982">
        <f>SUM(D49+E50+F49+G50+H49+I49+J49+L49)</f>
        <v>0</v>
      </c>
      <c r="N49" s="967">
        <v>0</v>
      </c>
      <c r="O49" s="977">
        <f t="shared" si="2"/>
        <v>0</v>
      </c>
    </row>
    <row r="50" spans="1:23" ht="14.4">
      <c r="A50" s="119">
        <f t="shared" si="4"/>
        <v>2047</v>
      </c>
      <c r="B50" s="706">
        <f t="shared" si="4"/>
        <v>88</v>
      </c>
      <c r="C50" s="148">
        <f t="shared" si="4"/>
        <v>23</v>
      </c>
      <c r="D50" s="982">
        <v>0</v>
      </c>
      <c r="E50" s="982">
        <v>0</v>
      </c>
      <c r="F50" s="982">
        <v>0</v>
      </c>
      <c r="G50" s="982">
        <v>0</v>
      </c>
      <c r="H50" s="982">
        <v>0</v>
      </c>
      <c r="I50" s="982">
        <v>0</v>
      </c>
      <c r="J50" s="982">
        <v>0</v>
      </c>
      <c r="K50" s="982">
        <v>0</v>
      </c>
      <c r="L50" s="982">
        <v>0</v>
      </c>
      <c r="M50" s="982">
        <f>SUM(D50+E51+F50+G51+H50+I50+J50+L50)</f>
        <v>0</v>
      </c>
      <c r="N50" s="967">
        <v>0</v>
      </c>
      <c r="O50" s="977">
        <f t="shared" si="2"/>
        <v>0</v>
      </c>
    </row>
    <row r="51" spans="1:23" ht="14.4">
      <c r="A51" s="119">
        <f t="shared" si="4"/>
        <v>2048</v>
      </c>
      <c r="B51" s="148">
        <f t="shared" si="4"/>
        <v>89</v>
      </c>
      <c r="C51" s="148">
        <f t="shared" si="4"/>
        <v>24</v>
      </c>
      <c r="D51" s="982">
        <v>0</v>
      </c>
      <c r="E51" s="982">
        <v>0</v>
      </c>
      <c r="F51" s="982">
        <v>0</v>
      </c>
      <c r="G51" s="982">
        <v>0</v>
      </c>
      <c r="H51" s="982">
        <v>0</v>
      </c>
      <c r="I51" s="982">
        <v>0</v>
      </c>
      <c r="J51" s="982">
        <v>0</v>
      </c>
      <c r="K51" s="982">
        <v>0</v>
      </c>
      <c r="L51" s="982">
        <v>0</v>
      </c>
      <c r="M51" s="982">
        <f t="shared" si="5"/>
        <v>0</v>
      </c>
      <c r="N51" s="967">
        <v>0</v>
      </c>
      <c r="O51" s="977">
        <f t="shared" si="2"/>
        <v>0</v>
      </c>
    </row>
    <row r="52" spans="1:23" ht="14.4">
      <c r="A52" s="144">
        <f t="shared" si="4"/>
        <v>2049</v>
      </c>
      <c r="B52" s="602">
        <f t="shared" si="4"/>
        <v>90</v>
      </c>
      <c r="C52" s="602">
        <f t="shared" si="4"/>
        <v>25</v>
      </c>
      <c r="D52" s="982">
        <v>0</v>
      </c>
      <c r="E52" s="982">
        <v>0</v>
      </c>
      <c r="F52" s="1050">
        <v>0</v>
      </c>
      <c r="G52" s="982">
        <v>0</v>
      </c>
      <c r="H52" s="982">
        <v>0</v>
      </c>
      <c r="I52" s="982">
        <v>0</v>
      </c>
      <c r="J52" s="982">
        <v>0</v>
      </c>
      <c r="K52" s="982">
        <v>0</v>
      </c>
      <c r="L52" s="982">
        <v>0</v>
      </c>
      <c r="M52" s="982">
        <f t="shared" si="5"/>
        <v>0</v>
      </c>
      <c r="N52" s="967">
        <v>0</v>
      </c>
      <c r="O52" s="985">
        <f>M52-N54</f>
        <v>0</v>
      </c>
    </row>
    <row r="53" spans="1:23" ht="18.350000000000001">
      <c r="A53" s="1803" t="s">
        <v>393</v>
      </c>
      <c r="B53" s="1804"/>
      <c r="C53" s="1805"/>
      <c r="D53" s="1804"/>
      <c r="E53" s="1804"/>
      <c r="F53" s="1804"/>
      <c r="G53" s="1804"/>
      <c r="H53" s="1804"/>
      <c r="I53" s="1804"/>
      <c r="J53" s="1804"/>
      <c r="K53" s="1804"/>
      <c r="L53" s="1804"/>
      <c r="M53" s="1804"/>
      <c r="N53" s="1804"/>
      <c r="O53" s="1806"/>
      <c r="P53" s="208"/>
      <c r="Q53" s="89"/>
      <c r="R53" s="89"/>
      <c r="S53" s="89"/>
      <c r="T53" s="89"/>
      <c r="U53" s="89"/>
      <c r="V53" s="89"/>
      <c r="W53" s="89"/>
    </row>
    <row r="54" spans="1:23" ht="14.4">
      <c r="A54" s="137">
        <f>A52+1</f>
        <v>2050</v>
      </c>
      <c r="B54" s="1167">
        <f>B52+1</f>
        <v>91</v>
      </c>
      <c r="C54" s="71">
        <f>C52+1</f>
        <v>26</v>
      </c>
      <c r="D54" s="1284">
        <v>0</v>
      </c>
      <c r="E54" s="982">
        <v>0</v>
      </c>
      <c r="F54" s="982">
        <v>0</v>
      </c>
      <c r="G54" s="982">
        <v>0</v>
      </c>
      <c r="H54" s="982">
        <v>0</v>
      </c>
      <c r="I54" s="982">
        <v>0</v>
      </c>
      <c r="J54" s="982">
        <v>0</v>
      </c>
      <c r="K54" s="982">
        <v>0</v>
      </c>
      <c r="L54" s="982">
        <v>0</v>
      </c>
      <c r="M54" s="982">
        <f>SUM(D54+E55+F54+G54+H54+I54+J54+L54)</f>
        <v>0</v>
      </c>
      <c r="N54" s="967">
        <v>0</v>
      </c>
      <c r="O54" s="977">
        <f>M54-N55</f>
        <v>0</v>
      </c>
    </row>
    <row r="55" spans="1:23" ht="13.1" customHeight="1">
      <c r="A55" s="137">
        <f t="shared" ref="A55:C57" si="6">A54+1</f>
        <v>2051</v>
      </c>
      <c r="B55" s="706">
        <f t="shared" si="6"/>
        <v>92</v>
      </c>
      <c r="C55" s="706">
        <f t="shared" si="6"/>
        <v>27</v>
      </c>
      <c r="D55" s="1284">
        <v>0</v>
      </c>
      <c r="E55" s="982">
        <v>0</v>
      </c>
      <c r="F55" s="982">
        <v>0</v>
      </c>
      <c r="G55" s="982">
        <v>0</v>
      </c>
      <c r="H55" s="982">
        <v>0</v>
      </c>
      <c r="I55" s="982">
        <v>0</v>
      </c>
      <c r="J55" s="982">
        <v>0</v>
      </c>
      <c r="K55" s="982">
        <v>0</v>
      </c>
      <c r="L55" s="982">
        <v>0</v>
      </c>
      <c r="M55" s="982">
        <f>SUM(D55+E56+F55+G55+H55+I55+J55+L55)</f>
        <v>0</v>
      </c>
      <c r="N55" s="967">
        <v>0</v>
      </c>
      <c r="O55" s="977">
        <f>M55-N55</f>
        <v>0</v>
      </c>
    </row>
    <row r="56" spans="1:23" ht="13.1" customHeight="1">
      <c r="A56" s="137">
        <f t="shared" si="6"/>
        <v>2052</v>
      </c>
      <c r="B56" s="706">
        <f t="shared" si="6"/>
        <v>93</v>
      </c>
      <c r="C56" s="706">
        <f t="shared" si="6"/>
        <v>28</v>
      </c>
      <c r="D56" s="1284">
        <v>0</v>
      </c>
      <c r="E56" s="982">
        <v>0</v>
      </c>
      <c r="F56" s="982">
        <v>0</v>
      </c>
      <c r="G56" s="982">
        <v>0</v>
      </c>
      <c r="H56" s="982">
        <v>0</v>
      </c>
      <c r="I56" s="982">
        <v>0</v>
      </c>
      <c r="J56" s="982">
        <v>0</v>
      </c>
      <c r="K56" s="982">
        <v>0</v>
      </c>
      <c r="L56" s="982">
        <v>0</v>
      </c>
      <c r="M56" s="982">
        <f t="shared" si="5"/>
        <v>0</v>
      </c>
      <c r="N56" s="967">
        <v>0</v>
      </c>
      <c r="O56" s="977">
        <f t="shared" ref="O56:O57" si="7">M56-N56</f>
        <v>0</v>
      </c>
    </row>
    <row r="57" spans="1:23" ht="13.1" customHeight="1">
      <c r="A57" s="137">
        <f t="shared" si="6"/>
        <v>2053</v>
      </c>
      <c r="B57" s="706">
        <f t="shared" si="6"/>
        <v>94</v>
      </c>
      <c r="C57" s="706">
        <f t="shared" si="6"/>
        <v>29</v>
      </c>
      <c r="D57" s="1284">
        <v>0</v>
      </c>
      <c r="E57" s="982">
        <v>0</v>
      </c>
      <c r="F57" s="982">
        <v>0</v>
      </c>
      <c r="G57" s="982">
        <v>0</v>
      </c>
      <c r="H57" s="982">
        <v>0</v>
      </c>
      <c r="I57" s="982">
        <v>0</v>
      </c>
      <c r="J57" s="982">
        <v>0</v>
      </c>
      <c r="K57" s="982">
        <v>0</v>
      </c>
      <c r="L57" s="982">
        <v>0</v>
      </c>
      <c r="M57" s="982">
        <f t="shared" si="5"/>
        <v>0</v>
      </c>
      <c r="N57" s="967">
        <v>0</v>
      </c>
      <c r="O57" s="977">
        <f t="shared" si="7"/>
        <v>0</v>
      </c>
    </row>
    <row r="58" spans="1:23" ht="12.45">
      <c r="A58" s="1537"/>
      <c r="B58" s="1537"/>
      <c r="C58" s="1537"/>
      <c r="D58" s="1537"/>
      <c r="E58" s="1537"/>
      <c r="F58" s="1537"/>
      <c r="G58" s="1537"/>
      <c r="H58" s="1537"/>
      <c r="I58" s="1537"/>
      <c r="J58" s="1537"/>
      <c r="K58" s="1537"/>
      <c r="L58" s="1537"/>
      <c r="M58" s="1537"/>
      <c r="N58" s="1537"/>
      <c r="O58" s="1538"/>
    </row>
    <row r="59" spans="1:23" ht="23.6">
      <c r="A59" s="1775" t="s">
        <v>69</v>
      </c>
      <c r="B59" s="1775"/>
      <c r="C59" s="1775"/>
      <c r="D59" s="1775"/>
      <c r="E59" s="1775"/>
      <c r="F59" s="1775"/>
      <c r="G59" s="1775"/>
      <c r="H59" s="1775"/>
      <c r="I59" s="1775"/>
      <c r="J59" s="1775"/>
      <c r="K59" s="1775"/>
      <c r="L59" s="1775"/>
      <c r="M59" s="1775"/>
      <c r="N59" s="1775"/>
      <c r="O59" s="1775"/>
    </row>
    <row r="61" spans="1:23">
      <c r="A61" s="1540" t="s">
        <v>394</v>
      </c>
      <c r="B61" s="1540"/>
      <c r="C61" s="1540"/>
      <c r="D61" s="1540"/>
      <c r="E61" s="1540"/>
      <c r="F61" s="1540"/>
      <c r="G61" s="1540"/>
      <c r="H61" s="1540"/>
      <c r="I61" s="1540"/>
      <c r="J61" s="1540"/>
      <c r="K61" s="1540"/>
      <c r="L61" s="1540"/>
      <c r="M61" s="1540"/>
      <c r="N61" s="1540"/>
      <c r="O61" s="1540"/>
    </row>
    <row r="62" spans="1:23" ht="12.45">
      <c r="A62" s="1540" t="s">
        <v>71</v>
      </c>
      <c r="B62" s="1540"/>
      <c r="C62" s="1540"/>
      <c r="D62" s="1540"/>
      <c r="E62" s="1540"/>
      <c r="F62" s="1540"/>
      <c r="G62" s="1540"/>
      <c r="H62" s="1540"/>
      <c r="I62" s="1540"/>
      <c r="J62" s="1540"/>
      <c r="K62" s="1540"/>
      <c r="L62" s="1540"/>
      <c r="M62" s="1540"/>
      <c r="N62" s="1540"/>
      <c r="O62" s="1540"/>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23" ht="15.05">
      <c r="A1" s="1563" t="s">
        <v>41</v>
      </c>
      <c r="B1" s="1564"/>
      <c r="C1" s="1564"/>
      <c r="D1" s="1565"/>
      <c r="E1" s="1034" t="s">
        <v>42</v>
      </c>
      <c r="F1" s="1566" t="s">
        <v>43</v>
      </c>
      <c r="G1" s="1567"/>
      <c r="H1" s="1568"/>
      <c r="I1" s="1035" t="s">
        <v>44</v>
      </c>
      <c r="J1" s="1569" t="s">
        <v>45</v>
      </c>
      <c r="K1" s="1567"/>
      <c r="L1" s="1568"/>
      <c r="M1" s="208"/>
    </row>
    <row r="2" spans="1:23" ht="12.45">
      <c r="A2" s="1540"/>
      <c r="B2" s="1540"/>
      <c r="C2" s="1540"/>
      <c r="D2" s="1540"/>
      <c r="E2" s="1540"/>
      <c r="F2" s="1540"/>
      <c r="G2" s="1540"/>
      <c r="H2" s="1540"/>
      <c r="I2" s="1540"/>
      <c r="J2" s="1540"/>
      <c r="K2" s="1540"/>
      <c r="L2" s="1540"/>
      <c r="M2" s="1540"/>
      <c r="N2" s="1540"/>
      <c r="O2" s="1540"/>
    </row>
    <row r="3" spans="1:23" ht="17.7">
      <c r="A3" s="1570"/>
      <c r="B3" s="1570"/>
      <c r="C3" s="1570"/>
      <c r="D3" s="1570"/>
      <c r="E3" s="1039" t="s">
        <v>46</v>
      </c>
      <c r="F3" s="1007">
        <v>19191</v>
      </c>
      <c r="G3" s="1016">
        <f ca="1">ROUNDDOWN((C4-F3)/365.25,0)</f>
        <v>73</v>
      </c>
      <c r="H3" s="1018" t="s">
        <v>3</v>
      </c>
      <c r="I3" s="1008">
        <v>69</v>
      </c>
      <c r="J3" s="1016">
        <f ca="1">I3-G3</f>
        <v>-4</v>
      </c>
      <c r="K3" s="1018" t="s">
        <v>47</v>
      </c>
      <c r="O3" s="211"/>
      <c r="Q3" s="89"/>
    </row>
    <row r="4" spans="1:23" ht="15.05">
      <c r="C4" s="988">
        <f ca="1">TODAY()</f>
        <v>46198</v>
      </c>
      <c r="E4" s="192"/>
      <c r="F4" s="965"/>
      <c r="G4" s="997"/>
      <c r="H4" s="192"/>
      <c r="I4" s="608"/>
      <c r="J4" s="997"/>
      <c r="K4" s="192"/>
      <c r="O4" s="211"/>
    </row>
    <row r="5" spans="1:23" ht="20.3">
      <c r="C5" s="970">
        <v>2020</v>
      </c>
      <c r="D5" s="192"/>
      <c r="E5" s="925"/>
      <c r="F5" s="925"/>
      <c r="G5" s="925"/>
      <c r="H5" s="192"/>
      <c r="I5" s="969"/>
      <c r="J5" s="192"/>
      <c r="K5" s="192"/>
      <c r="L5" s="969"/>
      <c r="M5" s="371"/>
      <c r="N5" s="192"/>
      <c r="P5" s="89"/>
      <c r="Q5" s="89"/>
      <c r="R5" s="89"/>
      <c r="S5" s="89"/>
      <c r="T5" s="89"/>
      <c r="U5" s="89"/>
      <c r="V5" s="89"/>
      <c r="W5" s="89"/>
    </row>
    <row r="6" spans="1:23" ht="17.7">
      <c r="A6" s="1554" t="s">
        <v>48</v>
      </c>
      <c r="B6" s="1555"/>
      <c r="C6" s="1556"/>
      <c r="D6" s="1017">
        <v>2000</v>
      </c>
      <c r="E6" s="1548" t="s">
        <v>49</v>
      </c>
      <c r="F6" s="1550"/>
      <c r="G6" s="1015">
        <f>D6*12</f>
        <v>24000</v>
      </c>
      <c r="H6" s="968"/>
      <c r="J6" s="968"/>
      <c r="K6" s="974"/>
      <c r="N6" s="16"/>
      <c r="O6" s="16"/>
      <c r="P6" s="89"/>
      <c r="Q6" s="89"/>
      <c r="R6" s="89"/>
      <c r="S6" s="89"/>
      <c r="T6" s="89"/>
      <c r="U6" s="89"/>
      <c r="V6" s="89"/>
      <c r="W6" s="89"/>
    </row>
    <row r="7" spans="1:23" ht="17.7">
      <c r="A7" s="1557"/>
      <c r="B7" s="1557"/>
      <c r="C7" s="1557"/>
      <c r="D7" s="966"/>
      <c r="E7" s="1558"/>
      <c r="F7" s="1558"/>
      <c r="G7" s="998"/>
      <c r="H7" s="968"/>
      <c r="I7" s="998"/>
      <c r="J7" s="968"/>
      <c r="K7" s="998"/>
      <c r="O7" s="16"/>
      <c r="P7" s="89"/>
      <c r="Q7" s="89"/>
      <c r="R7" s="89"/>
      <c r="S7" s="89"/>
      <c r="T7" s="89"/>
      <c r="U7" s="89"/>
      <c r="V7" s="89"/>
      <c r="W7" s="89"/>
    </row>
    <row r="10" spans="1:23" ht="17.7">
      <c r="A10" s="1560" t="s">
        <v>50</v>
      </c>
      <c r="B10" s="1561"/>
      <c r="C10" s="1561"/>
      <c r="D10" s="1562"/>
      <c r="E10" s="1010">
        <v>2000</v>
      </c>
      <c r="F10" s="1019" t="s">
        <v>51</v>
      </c>
      <c r="G10" s="1020">
        <f>E10*12</f>
        <v>24000</v>
      </c>
      <c r="H10" s="192"/>
      <c r="I10" s="1021">
        <f>G10*1.25</f>
        <v>30000</v>
      </c>
      <c r="J10" s="1559" t="s">
        <v>52</v>
      </c>
      <c r="K10" s="1559"/>
      <c r="L10" s="1559"/>
      <c r="M10" s="1559"/>
      <c r="N10" s="1559"/>
      <c r="O10" s="16"/>
    </row>
    <row r="11" spans="1:23" ht="20.3">
      <c r="C11" s="970"/>
      <c r="D11" s="192"/>
      <c r="E11" s="925"/>
      <c r="F11" s="925"/>
      <c r="G11" s="925"/>
      <c r="H11" s="192"/>
      <c r="I11" s="969"/>
      <c r="J11" s="192"/>
      <c r="K11" s="192"/>
      <c r="L11" s="969"/>
      <c r="M11" s="371"/>
      <c r="N11" s="192"/>
      <c r="P11" s="89"/>
      <c r="Q11" s="89"/>
      <c r="R11" s="89"/>
      <c r="S11" s="89"/>
      <c r="T11" s="89"/>
      <c r="U11" s="89"/>
      <c r="V11" s="89"/>
      <c r="W11" s="89"/>
    </row>
    <row r="12" spans="1:23" ht="15.05">
      <c r="A12" s="1548" t="s">
        <v>53</v>
      </c>
      <c r="B12" s="1549"/>
      <c r="C12" s="1550"/>
      <c r="D12" s="1010">
        <v>2388.67</v>
      </c>
      <c r="E12" s="1022" t="s">
        <v>12</v>
      </c>
      <c r="F12" s="1011">
        <v>70</v>
      </c>
      <c r="G12" s="1548" t="s">
        <v>54</v>
      </c>
      <c r="H12" s="1550"/>
      <c r="I12" s="1021">
        <f>D12*12</f>
        <v>28664.04</v>
      </c>
      <c r="J12" s="1553" t="s">
        <v>55</v>
      </c>
      <c r="K12" s="1553"/>
      <c r="L12" s="1553"/>
      <c r="M12" s="1553"/>
      <c r="N12" s="1553"/>
      <c r="O12" s="1553"/>
    </row>
    <row r="13" spans="1:23" ht="17.7">
      <c r="A13" s="1551"/>
      <c r="B13" s="1551"/>
      <c r="C13" s="1551"/>
      <c r="D13" s="311"/>
      <c r="E13" s="999"/>
      <c r="F13" s="1000"/>
      <c r="G13" s="1552"/>
      <c r="H13" s="1552"/>
      <c r="I13" s="1001"/>
      <c r="J13" s="1552"/>
      <c r="K13" s="1552"/>
      <c r="L13" s="1002"/>
      <c r="N13" s="16"/>
      <c r="O13" s="16"/>
    </row>
    <row r="14" spans="1:23" ht="23.6">
      <c r="A14" s="1541" t="s">
        <v>56</v>
      </c>
      <c r="B14" s="1541"/>
      <c r="C14" s="1541"/>
      <c r="D14" s="1541"/>
      <c r="E14" s="1541"/>
      <c r="F14" s="1541"/>
      <c r="G14" s="1541"/>
      <c r="H14" s="1541"/>
      <c r="I14" s="1541"/>
      <c r="J14" s="1541"/>
      <c r="K14" s="1541"/>
      <c r="L14" s="1541"/>
      <c r="M14" s="1541"/>
      <c r="N14" s="1541"/>
      <c r="O14" s="1542"/>
      <c r="P14" s="89"/>
      <c r="Q14" s="89"/>
      <c r="R14" s="89"/>
      <c r="S14" s="89"/>
      <c r="T14" s="89"/>
      <c r="U14" s="89"/>
      <c r="V14" s="89"/>
      <c r="W14" s="89"/>
    </row>
    <row r="15" spans="1:23" ht="23.6">
      <c r="A15" s="1543" t="s">
        <v>57</v>
      </c>
      <c r="B15" s="1544"/>
      <c r="C15" s="1544"/>
      <c r="D15" s="1544"/>
      <c r="E15" s="1544"/>
      <c r="F15" s="1544"/>
      <c r="G15" s="1544"/>
      <c r="H15" s="1544"/>
      <c r="I15" s="1544"/>
      <c r="J15" s="1544"/>
      <c r="K15" s="1544"/>
      <c r="L15" s="1544"/>
      <c r="M15" s="1544"/>
      <c r="N15" s="1544"/>
      <c r="O15" s="1545"/>
    </row>
    <row r="16" spans="1:23" s="37" customFormat="1" ht="100" customHeight="1">
      <c r="A16" s="1014" t="s">
        <v>26</v>
      </c>
      <c r="B16" s="1014" t="s">
        <v>58</v>
      </c>
      <c r="C16" s="1014" t="s">
        <v>59</v>
      </c>
      <c r="D16" s="1003" t="s">
        <v>60</v>
      </c>
      <c r="E16" s="36" t="s">
        <v>61</v>
      </c>
      <c r="F16" s="36" t="s">
        <v>62</v>
      </c>
      <c r="G16" s="36" t="s">
        <v>63</v>
      </c>
      <c r="H16" s="36" t="s">
        <v>64</v>
      </c>
      <c r="I16" s="36" t="s">
        <v>64</v>
      </c>
      <c r="J16" s="36" t="s">
        <v>64</v>
      </c>
      <c r="K16" s="36" t="s">
        <v>64</v>
      </c>
      <c r="L16" s="36" t="s">
        <v>64</v>
      </c>
      <c r="M16" s="1067" t="s">
        <v>65</v>
      </c>
      <c r="N16" s="1014" t="s">
        <v>66</v>
      </c>
      <c r="O16" s="1068" t="s">
        <v>67</v>
      </c>
      <c r="P16" s="213"/>
      <c r="Q16" s="213"/>
      <c r="R16" s="213"/>
      <c r="S16" s="213"/>
      <c r="T16" s="213"/>
      <c r="U16" s="213"/>
      <c r="V16" s="213"/>
      <c r="W16" s="213"/>
    </row>
    <row r="17" spans="1:15" hidden="1">
      <c r="A17" s="334">
        <v>2009</v>
      </c>
      <c r="B17" s="334">
        <v>56</v>
      </c>
      <c r="C17" s="334">
        <v>55</v>
      </c>
      <c r="D17" s="215">
        <v>0</v>
      </c>
      <c r="E17" s="214">
        <v>0</v>
      </c>
      <c r="F17" s="215">
        <v>0</v>
      </c>
      <c r="G17" s="215">
        <v>0</v>
      </c>
      <c r="H17" s="215">
        <v>0</v>
      </c>
      <c r="I17" s="215">
        <v>0</v>
      </c>
      <c r="J17" s="215">
        <v>0</v>
      </c>
      <c r="K17" s="215"/>
      <c r="L17" s="215">
        <v>0</v>
      </c>
      <c r="M17" s="44">
        <f ca="1">SUM(D17:N17)</f>
        <v>0</v>
      </c>
      <c r="N17" s="215">
        <v>0</v>
      </c>
      <c r="O17" s="215">
        <v>0</v>
      </c>
    </row>
    <row r="18" spans="1:15">
      <c r="A18" s="1537"/>
      <c r="B18" s="1537"/>
      <c r="C18" s="1537"/>
      <c r="D18" s="978"/>
      <c r="E18" s="1040"/>
      <c r="F18" s="1041"/>
      <c r="G18" s="1041"/>
      <c r="H18" s="1042"/>
      <c r="I18" s="1042"/>
      <c r="J18" s="1042"/>
      <c r="K18" s="1042"/>
      <c r="L18" s="1042"/>
      <c r="M18" s="992"/>
      <c r="N18" s="992"/>
      <c r="O18" s="993"/>
    </row>
    <row r="19" spans="1:15">
      <c r="A19" s="1546"/>
      <c r="B19" s="1546"/>
      <c r="C19" s="1547"/>
      <c r="D19" s="976">
        <f>F12</f>
        <v>70</v>
      </c>
      <c r="E19" s="1004">
        <f>I3</f>
        <v>69</v>
      </c>
      <c r="F19" s="987">
        <v>0</v>
      </c>
      <c r="G19" s="1004">
        <v>0</v>
      </c>
      <c r="H19" s="1004">
        <v>0</v>
      </c>
      <c r="I19" s="1004">
        <v>0</v>
      </c>
      <c r="J19" s="1004">
        <v>0</v>
      </c>
      <c r="K19" s="987">
        <v>0</v>
      </c>
      <c r="L19" s="1004">
        <v>0</v>
      </c>
      <c r="M19" s="989"/>
      <c r="N19" s="989"/>
      <c r="O19" s="994"/>
    </row>
    <row r="20" spans="1:15">
      <c r="A20" s="1546"/>
      <c r="B20" s="1546"/>
      <c r="C20" s="1546"/>
      <c r="D20" s="975">
        <f>I12</f>
        <v>28664.04</v>
      </c>
      <c r="E20" s="975">
        <f>G6</f>
        <v>24000</v>
      </c>
      <c r="F20" s="986">
        <f>F7</f>
        <v>0</v>
      </c>
      <c r="G20" s="986">
        <f>G7</f>
        <v>0</v>
      </c>
      <c r="H20" s="986">
        <v>0</v>
      </c>
      <c r="I20" s="986">
        <v>0</v>
      </c>
      <c r="J20" s="986">
        <v>0</v>
      </c>
      <c r="K20" s="986">
        <v>0</v>
      </c>
      <c r="L20" s="986">
        <v>0</v>
      </c>
      <c r="M20" s="990"/>
      <c r="N20" s="989"/>
      <c r="O20" s="994"/>
    </row>
    <row r="21" spans="1:15" ht="12.45">
      <c r="A21" s="1537"/>
      <c r="B21" s="1537"/>
      <c r="C21" s="1537"/>
      <c r="D21" s="1537"/>
      <c r="E21" s="1537"/>
      <c r="F21" s="1537"/>
      <c r="G21" s="1537"/>
      <c r="H21" s="1537"/>
      <c r="I21" s="1537"/>
      <c r="J21" s="1537"/>
      <c r="K21" s="1537"/>
      <c r="L21" s="1537"/>
      <c r="M21" s="991"/>
      <c r="N21" s="208"/>
      <c r="O21" s="995"/>
    </row>
    <row r="22" spans="1:15" ht="14.4">
      <c r="A22" s="979" t="s">
        <v>68</v>
      </c>
      <c r="B22" s="155">
        <f ca="1">G3</f>
        <v>73</v>
      </c>
      <c r="C22" s="119">
        <f>G4</f>
        <v>0</v>
      </c>
      <c r="D22" s="982">
        <v>0</v>
      </c>
      <c r="E22" s="982">
        <v>24000</v>
      </c>
      <c r="F22" s="982">
        <v>0</v>
      </c>
      <c r="G22" s="982">
        <v>0</v>
      </c>
      <c r="H22" s="982">
        <v>0</v>
      </c>
      <c r="I22" s="982">
        <v>0</v>
      </c>
      <c r="J22" s="982">
        <v>0</v>
      </c>
      <c r="K22" s="982">
        <v>0</v>
      </c>
      <c r="L22" s="982">
        <v>0</v>
      </c>
      <c r="M22" s="980">
        <f>D22+E22+F22+G22+H22+I22+J22+K22+L22</f>
        <v>24000</v>
      </c>
      <c r="N22" s="967">
        <f>I10</f>
        <v>30000</v>
      </c>
      <c r="O22" s="977">
        <f>M22-N23</f>
        <v>-6000</v>
      </c>
    </row>
    <row r="23" spans="1:15" ht="14.4">
      <c r="A23" s="119">
        <f t="shared" ref="A23:C38" si="0">A22+1</f>
        <v>2021</v>
      </c>
      <c r="B23" s="144">
        <f t="shared" ca="1" si="0"/>
        <v>74</v>
      </c>
      <c r="C23" s="334">
        <f t="shared" si="0"/>
        <v>1</v>
      </c>
      <c r="D23" s="982">
        <v>0</v>
      </c>
      <c r="E23" s="982">
        <v>24000</v>
      </c>
      <c r="F23" s="982">
        <v>0</v>
      </c>
      <c r="G23" s="982">
        <v>0</v>
      </c>
      <c r="H23" s="982">
        <v>0</v>
      </c>
      <c r="I23" s="982">
        <v>0</v>
      </c>
      <c r="J23" s="982">
        <v>0</v>
      </c>
      <c r="K23" s="982">
        <v>0</v>
      </c>
      <c r="L23" s="982">
        <v>0</v>
      </c>
      <c r="M23" s="980">
        <f t="shared" ref="M23:M39" si="1">D23+E23+F23+G23+H23+I23+J23+K23+L23</f>
        <v>24000</v>
      </c>
      <c r="N23" s="967">
        <f>I10</f>
        <v>30000</v>
      </c>
      <c r="O23" s="977">
        <f t="shared" ref="O23:O47" si="2">M23-N24</f>
        <v>-6000</v>
      </c>
    </row>
    <row r="24" spans="1:15" ht="14.4">
      <c r="A24" s="155">
        <f t="shared" si="0"/>
        <v>2022</v>
      </c>
      <c r="B24" s="119">
        <f t="shared" ca="1" si="0"/>
        <v>75</v>
      </c>
      <c r="C24" s="119">
        <f t="shared" si="0"/>
        <v>2</v>
      </c>
      <c r="D24" s="982">
        <v>0</v>
      </c>
      <c r="E24" s="982">
        <v>24000</v>
      </c>
      <c r="F24" s="982">
        <v>0</v>
      </c>
      <c r="G24" s="982">
        <v>0</v>
      </c>
      <c r="H24" s="982">
        <v>0</v>
      </c>
      <c r="I24" s="982">
        <v>0</v>
      </c>
      <c r="J24" s="982">
        <v>0</v>
      </c>
      <c r="K24" s="982">
        <v>0</v>
      </c>
      <c r="L24" s="982">
        <v>0</v>
      </c>
      <c r="M24" s="980">
        <f t="shared" si="1"/>
        <v>24000</v>
      </c>
      <c r="N24" s="967">
        <f>I10</f>
        <v>30000</v>
      </c>
      <c r="O24" s="977">
        <f t="shared" si="2"/>
        <v>-6000</v>
      </c>
    </row>
    <row r="25" spans="1:15" ht="14.4">
      <c r="A25" s="119">
        <f t="shared" si="0"/>
        <v>2023</v>
      </c>
      <c r="B25" s="137">
        <f t="shared" ca="1" si="0"/>
        <v>76</v>
      </c>
      <c r="C25" s="137">
        <f t="shared" si="0"/>
        <v>3</v>
      </c>
      <c r="D25" s="982">
        <v>28664.04</v>
      </c>
      <c r="E25" s="982">
        <v>0</v>
      </c>
      <c r="F25" s="982">
        <v>0</v>
      </c>
      <c r="G25" s="982">
        <v>0</v>
      </c>
      <c r="H25" s="982">
        <v>0</v>
      </c>
      <c r="I25" s="982">
        <v>0</v>
      </c>
      <c r="J25" s="982">
        <v>0</v>
      </c>
      <c r="K25" s="982">
        <v>0</v>
      </c>
      <c r="L25" s="982">
        <v>0</v>
      </c>
      <c r="M25" s="980">
        <f t="shared" si="1"/>
        <v>28664.04</v>
      </c>
      <c r="N25" s="967">
        <f>I10</f>
        <v>30000</v>
      </c>
      <c r="O25" s="977">
        <f t="shared" si="2"/>
        <v>-1335.9599999999991</v>
      </c>
    </row>
    <row r="26" spans="1:15" ht="14.4">
      <c r="A26" s="119">
        <f t="shared" si="0"/>
        <v>2024</v>
      </c>
      <c r="B26" s="119">
        <f t="shared" ca="1" si="0"/>
        <v>77</v>
      </c>
      <c r="C26" s="119">
        <f t="shared" si="0"/>
        <v>4</v>
      </c>
      <c r="D26" s="982">
        <v>28664.04</v>
      </c>
      <c r="E26" s="982">
        <v>0</v>
      </c>
      <c r="F26" s="982">
        <v>0</v>
      </c>
      <c r="G26" s="982">
        <v>0</v>
      </c>
      <c r="H26" s="982">
        <v>0</v>
      </c>
      <c r="I26" s="982">
        <v>0</v>
      </c>
      <c r="J26" s="982">
        <v>0</v>
      </c>
      <c r="K26" s="982">
        <v>0</v>
      </c>
      <c r="L26" s="982">
        <v>0</v>
      </c>
      <c r="M26" s="980">
        <f t="shared" si="1"/>
        <v>28664.04</v>
      </c>
      <c r="N26" s="967">
        <f>I10</f>
        <v>30000</v>
      </c>
      <c r="O26" s="977">
        <f t="shared" si="2"/>
        <v>-1335.9599999999991</v>
      </c>
    </row>
    <row r="27" spans="1:15" ht="14.4">
      <c r="A27" s="119">
        <f t="shared" si="0"/>
        <v>2025</v>
      </c>
      <c r="B27" s="144">
        <f t="shared" ca="1" si="0"/>
        <v>78</v>
      </c>
      <c r="C27" s="144">
        <f t="shared" si="0"/>
        <v>5</v>
      </c>
      <c r="D27" s="982">
        <v>28664.04</v>
      </c>
      <c r="E27" s="982">
        <v>0</v>
      </c>
      <c r="F27" s="982">
        <v>0</v>
      </c>
      <c r="G27" s="982">
        <v>0</v>
      </c>
      <c r="H27" s="982">
        <v>0</v>
      </c>
      <c r="I27" s="982">
        <v>0</v>
      </c>
      <c r="J27" s="982">
        <v>0</v>
      </c>
      <c r="K27" s="982">
        <v>0</v>
      </c>
      <c r="L27" s="982">
        <v>0</v>
      </c>
      <c r="M27" s="980">
        <f t="shared" si="1"/>
        <v>28664.04</v>
      </c>
      <c r="N27" s="967">
        <f>I10</f>
        <v>30000</v>
      </c>
      <c r="O27" s="977">
        <f t="shared" si="2"/>
        <v>-1335.9599999999991</v>
      </c>
    </row>
    <row r="28" spans="1:15" ht="14.4">
      <c r="A28" s="155">
        <f t="shared" si="0"/>
        <v>2026</v>
      </c>
      <c r="B28" s="119">
        <f t="shared" ca="1" si="0"/>
        <v>79</v>
      </c>
      <c r="C28" s="119">
        <f t="shared" si="0"/>
        <v>6</v>
      </c>
      <c r="D28" s="982">
        <v>28664.04</v>
      </c>
      <c r="E28" s="982">
        <v>0</v>
      </c>
      <c r="F28" s="982">
        <v>0</v>
      </c>
      <c r="G28" s="982">
        <v>0</v>
      </c>
      <c r="H28" s="982">
        <v>0</v>
      </c>
      <c r="I28" s="982">
        <v>0</v>
      </c>
      <c r="J28" s="982">
        <v>0</v>
      </c>
      <c r="K28" s="982">
        <v>0</v>
      </c>
      <c r="L28" s="982">
        <v>0</v>
      </c>
      <c r="M28" s="980">
        <f t="shared" si="1"/>
        <v>28664.04</v>
      </c>
      <c r="N28" s="967">
        <f>I10</f>
        <v>30000</v>
      </c>
      <c r="O28" s="977">
        <f t="shared" si="2"/>
        <v>-1335.9599999999991</v>
      </c>
    </row>
    <row r="29" spans="1:15" ht="14.4">
      <c r="A29" s="119">
        <f t="shared" si="0"/>
        <v>2027</v>
      </c>
      <c r="B29" s="137">
        <f t="shared" ca="1" si="0"/>
        <v>80</v>
      </c>
      <c r="C29" s="137">
        <f t="shared" si="0"/>
        <v>7</v>
      </c>
      <c r="D29" s="982">
        <v>28664.04</v>
      </c>
      <c r="E29" s="982">
        <v>0</v>
      </c>
      <c r="F29" s="982">
        <v>0</v>
      </c>
      <c r="G29" s="982">
        <v>0</v>
      </c>
      <c r="H29" s="982">
        <v>0</v>
      </c>
      <c r="I29" s="982">
        <v>0</v>
      </c>
      <c r="J29" s="982">
        <v>0</v>
      </c>
      <c r="K29" s="982">
        <v>0</v>
      </c>
      <c r="L29" s="982">
        <v>0</v>
      </c>
      <c r="M29" s="980">
        <f t="shared" si="1"/>
        <v>28664.04</v>
      </c>
      <c r="N29" s="967">
        <f>I10</f>
        <v>30000</v>
      </c>
      <c r="O29" s="977">
        <f t="shared" si="2"/>
        <v>-1335.9599999999991</v>
      </c>
    </row>
    <row r="30" spans="1:15" ht="14.4">
      <c r="A30" s="119">
        <f t="shared" si="0"/>
        <v>2028</v>
      </c>
      <c r="B30" s="119">
        <f t="shared" ca="1" si="0"/>
        <v>81</v>
      </c>
      <c r="C30" s="119">
        <f t="shared" si="0"/>
        <v>8</v>
      </c>
      <c r="D30" s="982">
        <v>28664.04</v>
      </c>
      <c r="E30" s="982">
        <v>0</v>
      </c>
      <c r="F30" s="982">
        <v>0</v>
      </c>
      <c r="G30" s="982">
        <v>0</v>
      </c>
      <c r="H30" s="982">
        <v>0</v>
      </c>
      <c r="I30" s="982">
        <v>0</v>
      </c>
      <c r="J30" s="982">
        <v>0</v>
      </c>
      <c r="K30" s="982">
        <v>0</v>
      </c>
      <c r="L30" s="982">
        <v>0</v>
      </c>
      <c r="M30" s="980">
        <f t="shared" si="1"/>
        <v>28664.04</v>
      </c>
      <c r="N30" s="967">
        <f>I10</f>
        <v>30000</v>
      </c>
      <c r="O30" s="977">
        <f t="shared" si="2"/>
        <v>-1335.9599999999991</v>
      </c>
    </row>
    <row r="31" spans="1:15" ht="14.4">
      <c r="A31" s="119">
        <f t="shared" si="0"/>
        <v>2029</v>
      </c>
      <c r="B31" s="119">
        <f t="shared" ca="1" si="0"/>
        <v>82</v>
      </c>
      <c r="C31" s="119">
        <f t="shared" si="0"/>
        <v>9</v>
      </c>
      <c r="D31" s="982">
        <v>28664.04</v>
      </c>
      <c r="E31" s="982">
        <v>0</v>
      </c>
      <c r="F31" s="982">
        <v>0</v>
      </c>
      <c r="G31" s="982">
        <v>0</v>
      </c>
      <c r="H31" s="982">
        <v>0</v>
      </c>
      <c r="I31" s="982">
        <v>0</v>
      </c>
      <c r="J31" s="982">
        <v>0</v>
      </c>
      <c r="K31" s="982">
        <v>0</v>
      </c>
      <c r="L31" s="982">
        <v>0</v>
      </c>
      <c r="M31" s="980">
        <f t="shared" si="1"/>
        <v>28664.04</v>
      </c>
      <c r="N31" s="967">
        <f>I10</f>
        <v>30000</v>
      </c>
      <c r="O31" s="977">
        <f t="shared" si="2"/>
        <v>-1335.9599999999991</v>
      </c>
    </row>
    <row r="32" spans="1:15" ht="14.4">
      <c r="A32" s="119">
        <f t="shared" si="0"/>
        <v>2030</v>
      </c>
      <c r="B32" s="119">
        <f t="shared" ca="1" si="0"/>
        <v>83</v>
      </c>
      <c r="C32" s="119">
        <f t="shared" si="0"/>
        <v>10</v>
      </c>
      <c r="D32" s="982">
        <v>28664.04</v>
      </c>
      <c r="E32" s="982">
        <v>0</v>
      </c>
      <c r="F32" s="982">
        <v>0</v>
      </c>
      <c r="G32" s="982">
        <v>0</v>
      </c>
      <c r="H32" s="982">
        <v>0</v>
      </c>
      <c r="I32" s="982">
        <v>0</v>
      </c>
      <c r="J32" s="982">
        <v>0</v>
      </c>
      <c r="K32" s="982">
        <v>0</v>
      </c>
      <c r="L32" s="982">
        <v>0</v>
      </c>
      <c r="M32" s="980">
        <f t="shared" si="1"/>
        <v>28664.04</v>
      </c>
      <c r="N32" s="967">
        <f>I10</f>
        <v>30000</v>
      </c>
      <c r="O32" s="977">
        <f t="shared" si="2"/>
        <v>-1335.9599999999991</v>
      </c>
    </row>
    <row r="33" spans="1:15" ht="14.4">
      <c r="A33" s="119">
        <f t="shared" si="0"/>
        <v>2031</v>
      </c>
      <c r="B33" s="119">
        <f t="shared" ca="1" si="0"/>
        <v>84</v>
      </c>
      <c r="C33" s="119">
        <f t="shared" si="0"/>
        <v>11</v>
      </c>
      <c r="D33" s="982">
        <v>28664.04</v>
      </c>
      <c r="E33" s="982">
        <v>0</v>
      </c>
      <c r="F33" s="982">
        <v>0</v>
      </c>
      <c r="G33" s="982">
        <v>0</v>
      </c>
      <c r="H33" s="982">
        <v>0</v>
      </c>
      <c r="I33" s="982">
        <v>0</v>
      </c>
      <c r="J33" s="982">
        <v>0</v>
      </c>
      <c r="K33" s="982">
        <v>0</v>
      </c>
      <c r="L33" s="982">
        <v>0</v>
      </c>
      <c r="M33" s="980">
        <f t="shared" si="1"/>
        <v>28664.04</v>
      </c>
      <c r="N33" s="967">
        <f>I10</f>
        <v>30000</v>
      </c>
      <c r="O33" s="977">
        <f t="shared" si="2"/>
        <v>-1335.9599999999991</v>
      </c>
    </row>
    <row r="34" spans="1:15" ht="14.4">
      <c r="A34" s="119">
        <f t="shared" si="0"/>
        <v>2032</v>
      </c>
      <c r="B34" s="119">
        <f t="shared" ca="1" si="0"/>
        <v>85</v>
      </c>
      <c r="C34" s="119">
        <f t="shared" si="0"/>
        <v>12</v>
      </c>
      <c r="D34" s="982">
        <v>28664.04</v>
      </c>
      <c r="E34" s="982">
        <v>0</v>
      </c>
      <c r="F34" s="982">
        <v>0</v>
      </c>
      <c r="G34" s="982">
        <v>0</v>
      </c>
      <c r="H34" s="982">
        <v>0</v>
      </c>
      <c r="I34" s="982">
        <v>0</v>
      </c>
      <c r="J34" s="982">
        <v>0</v>
      </c>
      <c r="K34" s="982">
        <v>0</v>
      </c>
      <c r="L34" s="982">
        <v>0</v>
      </c>
      <c r="M34" s="980">
        <f t="shared" si="1"/>
        <v>28664.04</v>
      </c>
      <c r="N34" s="967">
        <f>I10</f>
        <v>30000</v>
      </c>
      <c r="O34" s="977">
        <f t="shared" si="2"/>
        <v>-1335.9599999999991</v>
      </c>
    </row>
    <row r="35" spans="1:15" ht="14.4">
      <c r="A35" s="119">
        <f t="shared" si="0"/>
        <v>2033</v>
      </c>
      <c r="B35" s="119">
        <f t="shared" ca="1" si="0"/>
        <v>86</v>
      </c>
      <c r="C35" s="119">
        <f t="shared" si="0"/>
        <v>13</v>
      </c>
      <c r="D35" s="982">
        <v>28664.04</v>
      </c>
      <c r="E35" s="982">
        <v>0</v>
      </c>
      <c r="F35" s="982">
        <v>0</v>
      </c>
      <c r="G35" s="982">
        <v>0</v>
      </c>
      <c r="H35" s="982">
        <v>0</v>
      </c>
      <c r="I35" s="982">
        <v>0</v>
      </c>
      <c r="J35" s="982">
        <v>0</v>
      </c>
      <c r="K35" s="982">
        <v>0</v>
      </c>
      <c r="L35" s="982">
        <v>0</v>
      </c>
      <c r="M35" s="980">
        <f t="shared" si="1"/>
        <v>28664.04</v>
      </c>
      <c r="N35" s="967">
        <f>I10</f>
        <v>30000</v>
      </c>
      <c r="O35" s="977">
        <f t="shared" si="2"/>
        <v>-1335.9599999999991</v>
      </c>
    </row>
    <row r="36" spans="1:15" ht="14.4">
      <c r="A36" s="119">
        <f t="shared" si="0"/>
        <v>2034</v>
      </c>
      <c r="B36" s="119">
        <f t="shared" ca="1" si="0"/>
        <v>87</v>
      </c>
      <c r="C36" s="119">
        <f t="shared" si="0"/>
        <v>14</v>
      </c>
      <c r="D36" s="982">
        <v>28664.04</v>
      </c>
      <c r="E36" s="982">
        <v>0</v>
      </c>
      <c r="F36" s="982">
        <v>0</v>
      </c>
      <c r="G36" s="982">
        <v>0</v>
      </c>
      <c r="H36" s="982">
        <v>0</v>
      </c>
      <c r="I36" s="982">
        <v>0</v>
      </c>
      <c r="J36" s="982">
        <v>0</v>
      </c>
      <c r="K36" s="982">
        <v>0</v>
      </c>
      <c r="L36" s="982">
        <v>0</v>
      </c>
      <c r="M36" s="980">
        <f t="shared" si="1"/>
        <v>28664.04</v>
      </c>
      <c r="N36" s="967">
        <f>I10</f>
        <v>30000</v>
      </c>
      <c r="O36" s="977">
        <f t="shared" si="2"/>
        <v>-1335.9599999999991</v>
      </c>
    </row>
    <row r="37" spans="1:15" ht="14.4">
      <c r="A37" s="155">
        <f t="shared" si="0"/>
        <v>2035</v>
      </c>
      <c r="B37" s="119">
        <f t="shared" ca="1" si="0"/>
        <v>88</v>
      </c>
      <c r="C37" s="221">
        <f t="shared" si="0"/>
        <v>15</v>
      </c>
      <c r="D37" s="982">
        <v>28664.04</v>
      </c>
      <c r="E37" s="982">
        <v>0</v>
      </c>
      <c r="F37" s="982">
        <v>0</v>
      </c>
      <c r="G37" s="982">
        <v>0</v>
      </c>
      <c r="H37" s="982">
        <v>0</v>
      </c>
      <c r="I37" s="982">
        <v>0</v>
      </c>
      <c r="J37" s="982">
        <v>0</v>
      </c>
      <c r="K37" s="982">
        <v>0</v>
      </c>
      <c r="L37" s="982">
        <v>0</v>
      </c>
      <c r="M37" s="980">
        <f t="shared" si="1"/>
        <v>28664.04</v>
      </c>
      <c r="N37" s="967">
        <f>I10</f>
        <v>30000</v>
      </c>
      <c r="O37" s="977">
        <f t="shared" si="2"/>
        <v>-1335.9599999999991</v>
      </c>
    </row>
    <row r="38" spans="1:15" ht="14.4">
      <c r="A38" s="119">
        <f t="shared" si="0"/>
        <v>2036</v>
      </c>
      <c r="B38" s="137">
        <f t="shared" ca="1" si="0"/>
        <v>89</v>
      </c>
      <c r="C38" s="119">
        <f t="shared" si="0"/>
        <v>16</v>
      </c>
      <c r="D38" s="982">
        <v>28664.04</v>
      </c>
      <c r="E38" s="982">
        <v>0</v>
      </c>
      <c r="F38" s="982">
        <v>0</v>
      </c>
      <c r="G38" s="982">
        <v>0</v>
      </c>
      <c r="H38" s="982">
        <v>0</v>
      </c>
      <c r="I38" s="982">
        <v>0</v>
      </c>
      <c r="J38" s="982">
        <v>0</v>
      </c>
      <c r="K38" s="982">
        <v>0</v>
      </c>
      <c r="L38" s="982">
        <v>0</v>
      </c>
      <c r="M38" s="980">
        <f t="shared" si="1"/>
        <v>28664.04</v>
      </c>
      <c r="N38" s="967">
        <f>I10</f>
        <v>30000</v>
      </c>
      <c r="O38" s="977">
        <f t="shared" si="2"/>
        <v>-1335.9599999999991</v>
      </c>
    </row>
    <row r="39" spans="1:15" ht="14.4">
      <c r="A39" s="119">
        <f t="shared" ref="A39:C54" si="3">A38+1</f>
        <v>2037</v>
      </c>
      <c r="B39" s="119">
        <f t="shared" ca="1" si="3"/>
        <v>90</v>
      </c>
      <c r="C39" s="119">
        <f t="shared" si="3"/>
        <v>17</v>
      </c>
      <c r="D39" s="982">
        <v>28664.04</v>
      </c>
      <c r="E39" s="982">
        <v>0</v>
      </c>
      <c r="F39" s="982">
        <v>0</v>
      </c>
      <c r="G39" s="982">
        <v>0</v>
      </c>
      <c r="H39" s="982">
        <v>0</v>
      </c>
      <c r="I39" s="982">
        <v>0</v>
      </c>
      <c r="J39" s="982">
        <v>0</v>
      </c>
      <c r="K39" s="982">
        <v>0</v>
      </c>
      <c r="L39" s="982">
        <v>0</v>
      </c>
      <c r="M39" s="980">
        <f t="shared" si="1"/>
        <v>28664.04</v>
      </c>
      <c r="N39" s="967">
        <f>I10</f>
        <v>30000</v>
      </c>
      <c r="O39" s="977">
        <f>M39-N40</f>
        <v>-1335.9599999999991</v>
      </c>
    </row>
    <row r="40" spans="1:15" ht="14.4">
      <c r="A40" s="119">
        <f>A39+1</f>
        <v>2038</v>
      </c>
      <c r="B40" s="119">
        <f ca="1">B39+1</f>
        <v>91</v>
      </c>
      <c r="C40" s="119">
        <f>C39+1</f>
        <v>18</v>
      </c>
      <c r="D40" s="982">
        <v>28664.04</v>
      </c>
      <c r="E40" s="982">
        <v>0</v>
      </c>
      <c r="F40" s="982">
        <v>0</v>
      </c>
      <c r="G40" s="982">
        <v>0</v>
      </c>
      <c r="H40" s="982">
        <v>0</v>
      </c>
      <c r="I40" s="982">
        <v>0</v>
      </c>
      <c r="J40" s="982">
        <v>0</v>
      </c>
      <c r="K40" s="982">
        <v>0</v>
      </c>
      <c r="L40" s="982">
        <v>0</v>
      </c>
      <c r="M40" s="981">
        <f t="shared" ref="M40:M57" si="4">SUM(D40+E40+F40+G40+H40+I40+J40+L40)</f>
        <v>28664.04</v>
      </c>
      <c r="N40" s="967">
        <f>I10</f>
        <v>30000</v>
      </c>
      <c r="O40" s="977">
        <f t="shared" si="2"/>
        <v>-1335.9599999999991</v>
      </c>
    </row>
    <row r="41" spans="1:15" ht="14.4">
      <c r="A41" s="119">
        <f t="shared" si="3"/>
        <v>2039</v>
      </c>
      <c r="B41" s="119">
        <f t="shared" ca="1" si="3"/>
        <v>92</v>
      </c>
      <c r="C41" s="119">
        <f t="shared" si="3"/>
        <v>19</v>
      </c>
      <c r="D41" s="982">
        <v>28664.04</v>
      </c>
      <c r="E41" s="982">
        <v>0</v>
      </c>
      <c r="F41" s="982">
        <v>0</v>
      </c>
      <c r="G41" s="982">
        <v>0</v>
      </c>
      <c r="H41" s="982">
        <v>0</v>
      </c>
      <c r="I41" s="982">
        <v>0</v>
      </c>
      <c r="J41" s="982">
        <v>0</v>
      </c>
      <c r="K41" s="982">
        <v>0</v>
      </c>
      <c r="L41" s="982">
        <v>0</v>
      </c>
      <c r="M41" s="982">
        <f t="shared" si="4"/>
        <v>28664.04</v>
      </c>
      <c r="N41" s="967">
        <f>I10</f>
        <v>30000</v>
      </c>
      <c r="O41" s="977">
        <f t="shared" si="2"/>
        <v>-1335.9599999999991</v>
      </c>
    </row>
    <row r="42" spans="1:15" ht="14.4">
      <c r="A42" s="119">
        <f t="shared" si="3"/>
        <v>2040</v>
      </c>
      <c r="B42" s="119">
        <f t="shared" ca="1" si="3"/>
        <v>93</v>
      </c>
      <c r="C42" s="119">
        <f t="shared" si="3"/>
        <v>20</v>
      </c>
      <c r="D42" s="982">
        <v>28664.04</v>
      </c>
      <c r="E42" s="982">
        <v>0</v>
      </c>
      <c r="F42" s="982">
        <v>0</v>
      </c>
      <c r="G42" s="982">
        <v>0</v>
      </c>
      <c r="H42" s="982">
        <v>0</v>
      </c>
      <c r="I42" s="982">
        <v>0</v>
      </c>
      <c r="J42" s="982">
        <v>0</v>
      </c>
      <c r="K42" s="982">
        <v>0</v>
      </c>
      <c r="L42" s="982">
        <v>0</v>
      </c>
      <c r="M42" s="980">
        <f t="shared" si="4"/>
        <v>28664.04</v>
      </c>
      <c r="N42" s="967">
        <f>I10</f>
        <v>30000</v>
      </c>
      <c r="O42" s="977">
        <f t="shared" si="2"/>
        <v>-1335.9599999999991</v>
      </c>
    </row>
    <row r="43" spans="1:15" ht="14.4">
      <c r="A43" s="119">
        <f t="shared" si="3"/>
        <v>2041</v>
      </c>
      <c r="B43" s="119">
        <f t="shared" ca="1" si="3"/>
        <v>94</v>
      </c>
      <c r="C43" s="119">
        <f t="shared" si="3"/>
        <v>21</v>
      </c>
      <c r="D43" s="982">
        <v>28664.04</v>
      </c>
      <c r="E43" s="982">
        <v>0</v>
      </c>
      <c r="F43" s="982">
        <v>0</v>
      </c>
      <c r="G43" s="982">
        <v>0</v>
      </c>
      <c r="H43" s="982">
        <v>0</v>
      </c>
      <c r="I43" s="982">
        <v>0</v>
      </c>
      <c r="J43" s="982">
        <v>0</v>
      </c>
      <c r="K43" s="982">
        <v>0</v>
      </c>
      <c r="L43" s="982">
        <v>0</v>
      </c>
      <c r="M43" s="980">
        <f t="shared" si="4"/>
        <v>28664.04</v>
      </c>
      <c r="N43" s="967">
        <f>I10</f>
        <v>30000</v>
      </c>
      <c r="O43" s="977">
        <f t="shared" si="2"/>
        <v>-1335.9599999999991</v>
      </c>
    </row>
    <row r="44" spans="1:15" ht="14.4">
      <c r="A44" s="119">
        <f t="shared" si="3"/>
        <v>2042</v>
      </c>
      <c r="B44" s="119">
        <f t="shared" ca="1" si="3"/>
        <v>95</v>
      </c>
      <c r="C44" s="119">
        <f t="shared" si="3"/>
        <v>22</v>
      </c>
      <c r="D44" s="982">
        <v>28664.04</v>
      </c>
      <c r="E44" s="982">
        <v>0</v>
      </c>
      <c r="F44" s="982">
        <v>0</v>
      </c>
      <c r="G44" s="982">
        <v>0</v>
      </c>
      <c r="H44" s="982">
        <v>0</v>
      </c>
      <c r="I44" s="982">
        <v>0</v>
      </c>
      <c r="J44" s="982">
        <v>0</v>
      </c>
      <c r="K44" s="982">
        <v>0</v>
      </c>
      <c r="L44" s="982">
        <v>0</v>
      </c>
      <c r="M44" s="980">
        <f t="shared" si="4"/>
        <v>28664.04</v>
      </c>
      <c r="N44" s="967">
        <f>I10</f>
        <v>30000</v>
      </c>
      <c r="O44" s="977">
        <f t="shared" si="2"/>
        <v>-1335.9599999999991</v>
      </c>
    </row>
    <row r="45" spans="1:15" ht="14.4">
      <c r="A45" s="119">
        <f t="shared" si="3"/>
        <v>2043</v>
      </c>
      <c r="B45" s="119">
        <f t="shared" ca="1" si="3"/>
        <v>96</v>
      </c>
      <c r="C45" s="119">
        <f t="shared" si="3"/>
        <v>23</v>
      </c>
      <c r="D45" s="982">
        <v>28664.04</v>
      </c>
      <c r="E45" s="982">
        <v>0</v>
      </c>
      <c r="F45" s="982">
        <v>0</v>
      </c>
      <c r="G45" s="982">
        <v>0</v>
      </c>
      <c r="H45" s="982">
        <v>0</v>
      </c>
      <c r="I45" s="982">
        <v>0</v>
      </c>
      <c r="J45" s="982">
        <v>0</v>
      </c>
      <c r="K45" s="982">
        <v>0</v>
      </c>
      <c r="L45" s="982">
        <v>0</v>
      </c>
      <c r="M45" s="981">
        <f t="shared" si="4"/>
        <v>28664.04</v>
      </c>
      <c r="N45" s="967">
        <f>I10</f>
        <v>30000</v>
      </c>
      <c r="O45" s="977">
        <f t="shared" si="2"/>
        <v>-1335.9599999999991</v>
      </c>
    </row>
    <row r="46" spans="1:15" ht="14.4">
      <c r="A46" s="119">
        <f t="shared" si="3"/>
        <v>2044</v>
      </c>
      <c r="B46" s="119">
        <f t="shared" ca="1" si="3"/>
        <v>97</v>
      </c>
      <c r="C46" s="119">
        <f t="shared" si="3"/>
        <v>24</v>
      </c>
      <c r="D46" s="982">
        <v>28664.04</v>
      </c>
      <c r="E46" s="982">
        <v>0</v>
      </c>
      <c r="F46" s="982">
        <v>0</v>
      </c>
      <c r="G46" s="982">
        <v>0</v>
      </c>
      <c r="H46" s="982">
        <v>0</v>
      </c>
      <c r="I46" s="982">
        <v>0</v>
      </c>
      <c r="J46" s="982">
        <v>0</v>
      </c>
      <c r="K46" s="982">
        <v>0</v>
      </c>
      <c r="L46" s="982">
        <v>0</v>
      </c>
      <c r="M46" s="982">
        <f t="shared" si="4"/>
        <v>28664.04</v>
      </c>
      <c r="N46" s="967">
        <f>I10</f>
        <v>30000</v>
      </c>
      <c r="O46" s="977">
        <f t="shared" si="2"/>
        <v>-1335.9599999999991</v>
      </c>
    </row>
    <row r="47" spans="1:15" ht="14.4">
      <c r="A47" s="119">
        <f t="shared" si="3"/>
        <v>2045</v>
      </c>
      <c r="B47" s="119">
        <f t="shared" ca="1" si="3"/>
        <v>98</v>
      </c>
      <c r="C47" s="119">
        <f t="shared" si="3"/>
        <v>25</v>
      </c>
      <c r="D47" s="982">
        <v>28664.04</v>
      </c>
      <c r="E47" s="982">
        <v>0</v>
      </c>
      <c r="F47" s="982">
        <v>0</v>
      </c>
      <c r="G47" s="982">
        <v>0</v>
      </c>
      <c r="H47" s="982">
        <v>0</v>
      </c>
      <c r="I47" s="982">
        <v>0</v>
      </c>
      <c r="J47" s="982">
        <v>0</v>
      </c>
      <c r="K47" s="982">
        <v>0</v>
      </c>
      <c r="L47" s="982">
        <v>0</v>
      </c>
      <c r="M47" s="982">
        <f t="shared" si="4"/>
        <v>28664.04</v>
      </c>
      <c r="N47" s="967">
        <f>I10</f>
        <v>30000</v>
      </c>
      <c r="O47" s="977">
        <f t="shared" si="2"/>
        <v>-1335.9599999999991</v>
      </c>
    </row>
    <row r="48" spans="1:15" ht="14.4">
      <c r="A48" s="119">
        <f t="shared" si="3"/>
        <v>2046</v>
      </c>
      <c r="B48" s="119">
        <f t="shared" ca="1" si="3"/>
        <v>99</v>
      </c>
      <c r="C48" s="119">
        <f t="shared" si="3"/>
        <v>26</v>
      </c>
      <c r="D48" s="982">
        <v>28664.04</v>
      </c>
      <c r="E48" s="982">
        <v>0</v>
      </c>
      <c r="F48" s="982">
        <v>0</v>
      </c>
      <c r="G48" s="982">
        <v>0</v>
      </c>
      <c r="H48" s="982">
        <v>0</v>
      </c>
      <c r="I48" s="982">
        <v>0</v>
      </c>
      <c r="J48" s="982">
        <v>0</v>
      </c>
      <c r="K48" s="982">
        <v>0</v>
      </c>
      <c r="L48" s="982">
        <v>0</v>
      </c>
      <c r="M48" s="982">
        <f t="shared" si="4"/>
        <v>28664.04</v>
      </c>
      <c r="N48" s="967">
        <f>I10</f>
        <v>30000</v>
      </c>
      <c r="O48" s="977">
        <f>M48-N49</f>
        <v>-1335.9599999999991</v>
      </c>
    </row>
    <row r="49" spans="1:15" ht="13.1" customHeight="1">
      <c r="A49" s="137">
        <f t="shared" si="3"/>
        <v>2047</v>
      </c>
      <c r="B49" s="137">
        <f t="shared" ca="1" si="3"/>
        <v>100</v>
      </c>
      <c r="C49" s="137">
        <f t="shared" si="3"/>
        <v>27</v>
      </c>
      <c r="D49" s="982">
        <v>28664.04</v>
      </c>
      <c r="E49" s="982">
        <v>0</v>
      </c>
      <c r="F49" s="982">
        <v>0</v>
      </c>
      <c r="G49" s="982">
        <v>0</v>
      </c>
      <c r="H49" s="982">
        <v>0</v>
      </c>
      <c r="I49" s="982">
        <v>0</v>
      </c>
      <c r="J49" s="982">
        <v>0</v>
      </c>
      <c r="K49" s="982">
        <v>0</v>
      </c>
      <c r="L49" s="982">
        <v>0</v>
      </c>
      <c r="M49" s="980">
        <f t="shared" si="4"/>
        <v>28664.04</v>
      </c>
      <c r="N49" s="967">
        <f>I10</f>
        <v>30000</v>
      </c>
      <c r="O49" s="977">
        <f>M49-N49</f>
        <v>-1335.9599999999991</v>
      </c>
    </row>
    <row r="50" spans="1:15" ht="13.1" customHeight="1">
      <c r="A50" s="137">
        <f t="shared" si="3"/>
        <v>2048</v>
      </c>
      <c r="B50" s="137">
        <f t="shared" ca="1" si="3"/>
        <v>101</v>
      </c>
      <c r="C50" s="137">
        <f t="shared" si="3"/>
        <v>28</v>
      </c>
      <c r="D50" s="982">
        <v>28664.04</v>
      </c>
      <c r="E50" s="982">
        <v>0</v>
      </c>
      <c r="F50" s="982">
        <v>0</v>
      </c>
      <c r="G50" s="982">
        <v>0</v>
      </c>
      <c r="H50" s="982">
        <v>0</v>
      </c>
      <c r="I50" s="982">
        <v>0</v>
      </c>
      <c r="J50" s="982">
        <v>0</v>
      </c>
      <c r="K50" s="982">
        <v>0</v>
      </c>
      <c r="L50" s="982">
        <v>0</v>
      </c>
      <c r="M50" s="980">
        <f t="shared" si="4"/>
        <v>28664.04</v>
      </c>
      <c r="N50" s="967">
        <f>I10</f>
        <v>30000</v>
      </c>
      <c r="O50" s="977">
        <f t="shared" ref="O50:O57" si="5">M50-N50</f>
        <v>-1335.9599999999991</v>
      </c>
    </row>
    <row r="51" spans="1:15" ht="13.1" customHeight="1">
      <c r="A51" s="137">
        <f t="shared" si="3"/>
        <v>2049</v>
      </c>
      <c r="B51" s="137">
        <f t="shared" ca="1" si="3"/>
        <v>102</v>
      </c>
      <c r="C51" s="137">
        <f t="shared" si="3"/>
        <v>29</v>
      </c>
      <c r="D51" s="982">
        <v>28664.04</v>
      </c>
      <c r="E51" s="982">
        <v>0</v>
      </c>
      <c r="F51" s="982">
        <v>0</v>
      </c>
      <c r="G51" s="982">
        <v>0</v>
      </c>
      <c r="H51" s="982">
        <v>0</v>
      </c>
      <c r="I51" s="982">
        <v>0</v>
      </c>
      <c r="J51" s="982">
        <v>0</v>
      </c>
      <c r="K51" s="982">
        <v>0</v>
      </c>
      <c r="L51" s="982">
        <v>0</v>
      </c>
      <c r="M51" s="980">
        <f t="shared" si="4"/>
        <v>28664.04</v>
      </c>
      <c r="N51" s="967">
        <f>I10</f>
        <v>30000</v>
      </c>
      <c r="O51" s="977">
        <f t="shared" si="5"/>
        <v>-1335.9599999999991</v>
      </c>
    </row>
    <row r="52" spans="1:15" ht="13.1" customHeight="1">
      <c r="A52" s="137">
        <f t="shared" si="3"/>
        <v>2050</v>
      </c>
      <c r="B52" s="137">
        <f t="shared" ca="1" si="3"/>
        <v>103</v>
      </c>
      <c r="C52" s="137">
        <f t="shared" si="3"/>
        <v>30</v>
      </c>
      <c r="D52" s="982">
        <v>28664.04</v>
      </c>
      <c r="E52" s="982">
        <v>0</v>
      </c>
      <c r="F52" s="982">
        <v>0</v>
      </c>
      <c r="G52" s="982">
        <v>0</v>
      </c>
      <c r="H52" s="982">
        <v>0</v>
      </c>
      <c r="I52" s="982">
        <v>0</v>
      </c>
      <c r="J52" s="982">
        <v>0</v>
      </c>
      <c r="K52" s="982">
        <v>0</v>
      </c>
      <c r="L52" s="982">
        <v>0</v>
      </c>
      <c r="M52" s="980">
        <f t="shared" si="4"/>
        <v>28664.04</v>
      </c>
      <c r="N52" s="967">
        <f>I10</f>
        <v>30000</v>
      </c>
      <c r="O52" s="977">
        <f t="shared" si="5"/>
        <v>-1335.9599999999991</v>
      </c>
    </row>
    <row r="53" spans="1:15" ht="13.1" customHeight="1">
      <c r="A53" s="137">
        <f t="shared" si="3"/>
        <v>2051</v>
      </c>
      <c r="B53" s="137">
        <f t="shared" ca="1" si="3"/>
        <v>104</v>
      </c>
      <c r="C53" s="137">
        <f t="shared" si="3"/>
        <v>31</v>
      </c>
      <c r="D53" s="982">
        <v>28664.04</v>
      </c>
      <c r="E53" s="982">
        <v>0</v>
      </c>
      <c r="F53" s="982">
        <v>0</v>
      </c>
      <c r="G53" s="982">
        <v>0</v>
      </c>
      <c r="H53" s="982">
        <v>0</v>
      </c>
      <c r="I53" s="982">
        <v>0</v>
      </c>
      <c r="J53" s="982">
        <v>0</v>
      </c>
      <c r="K53" s="982">
        <v>0</v>
      </c>
      <c r="L53" s="982">
        <v>0</v>
      </c>
      <c r="M53" s="980">
        <f t="shared" si="4"/>
        <v>28664.04</v>
      </c>
      <c r="N53" s="967">
        <f>I10</f>
        <v>30000</v>
      </c>
      <c r="O53" s="977">
        <f t="shared" si="5"/>
        <v>-1335.9599999999991</v>
      </c>
    </row>
    <row r="54" spans="1:15" ht="13.1" customHeight="1">
      <c r="A54" s="137">
        <f t="shared" si="3"/>
        <v>2052</v>
      </c>
      <c r="B54" s="137">
        <f t="shared" ca="1" si="3"/>
        <v>105</v>
      </c>
      <c r="C54" s="137">
        <f t="shared" si="3"/>
        <v>32</v>
      </c>
      <c r="D54" s="982">
        <v>28664.04</v>
      </c>
      <c r="E54" s="982">
        <v>0</v>
      </c>
      <c r="F54" s="982">
        <v>0</v>
      </c>
      <c r="G54" s="982">
        <v>0</v>
      </c>
      <c r="H54" s="982">
        <v>0</v>
      </c>
      <c r="I54" s="982">
        <v>0</v>
      </c>
      <c r="J54" s="982">
        <v>0</v>
      </c>
      <c r="K54" s="982">
        <v>0</v>
      </c>
      <c r="L54" s="982">
        <v>0</v>
      </c>
      <c r="M54" s="980">
        <f t="shared" si="4"/>
        <v>28664.04</v>
      </c>
      <c r="N54" s="967">
        <f>I10</f>
        <v>30000</v>
      </c>
      <c r="O54" s="977">
        <f t="shared" si="5"/>
        <v>-1335.9599999999991</v>
      </c>
    </row>
    <row r="55" spans="1:15" ht="13.1" customHeight="1">
      <c r="A55" s="137">
        <f t="shared" ref="A55:C57" si="6">A54+1</f>
        <v>2053</v>
      </c>
      <c r="B55" s="137">
        <f t="shared" ca="1" si="6"/>
        <v>106</v>
      </c>
      <c r="C55" s="137">
        <f t="shared" si="6"/>
        <v>33</v>
      </c>
      <c r="D55" s="982">
        <v>28664.04</v>
      </c>
      <c r="E55" s="982">
        <v>0</v>
      </c>
      <c r="F55" s="982">
        <v>0</v>
      </c>
      <c r="G55" s="982">
        <v>0</v>
      </c>
      <c r="H55" s="982">
        <v>0</v>
      </c>
      <c r="I55" s="982">
        <v>0</v>
      </c>
      <c r="J55" s="982">
        <v>0</v>
      </c>
      <c r="K55" s="982">
        <v>0</v>
      </c>
      <c r="L55" s="982">
        <v>0</v>
      </c>
      <c r="M55" s="980">
        <f t="shared" si="4"/>
        <v>28664.04</v>
      </c>
      <c r="N55" s="967">
        <f>I10</f>
        <v>30000</v>
      </c>
      <c r="O55" s="977">
        <f t="shared" si="5"/>
        <v>-1335.9599999999991</v>
      </c>
    </row>
    <row r="56" spans="1:15" ht="13.1" customHeight="1">
      <c r="A56" s="137">
        <f t="shared" si="6"/>
        <v>2054</v>
      </c>
      <c r="B56" s="137">
        <f t="shared" ca="1" si="6"/>
        <v>107</v>
      </c>
      <c r="C56" s="137">
        <f t="shared" si="6"/>
        <v>34</v>
      </c>
      <c r="D56" s="982">
        <v>28664.04</v>
      </c>
      <c r="E56" s="982">
        <v>0</v>
      </c>
      <c r="F56" s="982">
        <v>0</v>
      </c>
      <c r="G56" s="982">
        <v>0</v>
      </c>
      <c r="H56" s="982">
        <v>0</v>
      </c>
      <c r="I56" s="982">
        <v>0</v>
      </c>
      <c r="J56" s="982">
        <v>0</v>
      </c>
      <c r="K56" s="982">
        <v>0</v>
      </c>
      <c r="L56" s="982">
        <v>0</v>
      </c>
      <c r="M56" s="980">
        <f t="shared" si="4"/>
        <v>28664.04</v>
      </c>
      <c r="N56" s="967">
        <f>I10</f>
        <v>30000</v>
      </c>
      <c r="O56" s="977">
        <f t="shared" si="5"/>
        <v>-1335.9599999999991</v>
      </c>
    </row>
    <row r="57" spans="1:15" ht="13.1" customHeight="1">
      <c r="A57" s="334">
        <f t="shared" si="6"/>
        <v>2055</v>
      </c>
      <c r="B57" s="334">
        <f t="shared" ca="1" si="6"/>
        <v>108</v>
      </c>
      <c r="C57" s="334">
        <f t="shared" si="6"/>
        <v>35</v>
      </c>
      <c r="D57" s="982">
        <v>28664.04</v>
      </c>
      <c r="E57" s="982">
        <v>0</v>
      </c>
      <c r="F57" s="982">
        <v>0</v>
      </c>
      <c r="G57" s="982">
        <v>0</v>
      </c>
      <c r="H57" s="982">
        <v>0</v>
      </c>
      <c r="I57" s="982">
        <v>0</v>
      </c>
      <c r="J57" s="982">
        <v>0</v>
      </c>
      <c r="K57" s="982">
        <v>0</v>
      </c>
      <c r="L57" s="982">
        <v>0</v>
      </c>
      <c r="M57" s="983">
        <f t="shared" si="4"/>
        <v>28664.04</v>
      </c>
      <c r="N57" s="984">
        <f>I10</f>
        <v>30000</v>
      </c>
      <c r="O57" s="985">
        <f t="shared" si="5"/>
        <v>-1335.9599999999991</v>
      </c>
    </row>
    <row r="58" spans="1:15" ht="12.45">
      <c r="A58" s="1537"/>
      <c r="B58" s="1537"/>
      <c r="C58" s="1537"/>
      <c r="D58" s="1537"/>
      <c r="E58" s="1537"/>
      <c r="F58" s="1537"/>
      <c r="G58" s="1537"/>
      <c r="H58" s="1537"/>
      <c r="I58" s="1537"/>
      <c r="J58" s="1537"/>
      <c r="K58" s="1537"/>
      <c r="L58" s="1537"/>
      <c r="M58" s="1537"/>
      <c r="N58" s="1537"/>
      <c r="O58" s="1538"/>
    </row>
    <row r="59" spans="1:15" ht="17.7">
      <c r="A59" s="1539" t="s">
        <v>69</v>
      </c>
      <c r="B59" s="1539"/>
      <c r="C59" s="1539"/>
      <c r="D59" s="1539"/>
      <c r="E59" s="1539"/>
      <c r="F59" s="1539"/>
      <c r="G59" s="1539"/>
      <c r="H59" s="1539"/>
      <c r="I59" s="1539"/>
      <c r="J59" s="1539"/>
      <c r="K59" s="1539"/>
      <c r="L59" s="1539"/>
      <c r="M59" s="1539"/>
      <c r="N59" s="1539"/>
      <c r="O59" s="1539"/>
    </row>
    <row r="61" spans="1:15">
      <c r="A61" s="1540" t="s">
        <v>70</v>
      </c>
      <c r="B61" s="1540"/>
      <c r="C61" s="1540"/>
      <c r="D61" s="1540"/>
      <c r="E61" s="1540"/>
      <c r="F61" s="1540"/>
      <c r="G61" s="1540"/>
      <c r="H61" s="1540"/>
      <c r="I61" s="1540"/>
      <c r="J61" s="1540"/>
      <c r="K61" s="1540"/>
      <c r="L61" s="1540"/>
      <c r="M61" s="1540"/>
      <c r="N61" s="1540"/>
      <c r="O61" s="1540"/>
    </row>
    <row r="62" spans="1:15" ht="12.45">
      <c r="A62" s="1540" t="s">
        <v>71</v>
      </c>
      <c r="B62" s="1540"/>
      <c r="C62" s="1540"/>
      <c r="D62" s="1540"/>
      <c r="E62" s="1540"/>
      <c r="F62" s="1540"/>
      <c r="G62" s="1540"/>
      <c r="H62" s="1540"/>
      <c r="I62" s="1540"/>
      <c r="J62" s="1540"/>
      <c r="K62" s="1540"/>
      <c r="L62" s="1540"/>
      <c r="M62" s="1540"/>
      <c r="N62" s="1540"/>
      <c r="O62" s="1540"/>
    </row>
  </sheetData>
  <mergeCells count="27">
    <mergeCell ref="A1:D1"/>
    <mergeCell ref="F1:H1"/>
    <mergeCell ref="J1:L1"/>
    <mergeCell ref="A2:O2"/>
    <mergeCell ref="A3:D3"/>
    <mergeCell ref="A6:C6"/>
    <mergeCell ref="E6:F6"/>
    <mergeCell ref="A7:C7"/>
    <mergeCell ref="E7:F7"/>
    <mergeCell ref="J10:N10"/>
    <mergeCell ref="A10:D10"/>
    <mergeCell ref="A12:C12"/>
    <mergeCell ref="G12:H12"/>
    <mergeCell ref="A13:C13"/>
    <mergeCell ref="G13:H13"/>
    <mergeCell ref="J13:K13"/>
    <mergeCell ref="J12:O12"/>
    <mergeCell ref="A58:O58"/>
    <mergeCell ref="A59:O59"/>
    <mergeCell ref="A61:O61"/>
    <mergeCell ref="A62:O62"/>
    <mergeCell ref="A14:O14"/>
    <mergeCell ref="A15:O15"/>
    <mergeCell ref="A18:C18"/>
    <mergeCell ref="A19:C19"/>
    <mergeCell ref="A20:C20"/>
    <mergeCell ref="A21:L2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13"/>
  <sheetViews>
    <sheetView showGridLines="0" workbookViewId="0"/>
  </sheetViews>
  <sheetFormatPr defaultColWidth="9.125" defaultRowHeight="12.45"/>
  <cols>
    <col min="1" max="1" width="11.875" customWidth="1"/>
    <col min="2" max="2" width="26.875" customWidth="1"/>
    <col min="3" max="3" width="14.125" customWidth="1"/>
    <col min="4" max="4" width="21.125" customWidth="1"/>
    <col min="5" max="5" width="14.125" customWidth="1"/>
    <col min="6" max="6" width="23.125" customWidth="1"/>
    <col min="7" max="7" width="14.125" customWidth="1"/>
    <col min="8" max="8" width="27.375" customWidth="1"/>
    <col min="9" max="10" width="20" customWidth="1"/>
    <col min="11" max="11" width="18" customWidth="1"/>
    <col min="12" max="19" width="9.125" style="75"/>
    <col min="20" max="22" width="9.125" style="156"/>
  </cols>
  <sheetData>
    <row r="1" spans="1:14" ht="20.3">
      <c r="A1" s="388"/>
      <c r="B1" s="389"/>
      <c r="C1" s="389"/>
      <c r="D1" s="389" t="s">
        <v>421</v>
      </c>
      <c r="E1" s="389"/>
      <c r="F1" s="389"/>
      <c r="G1" s="389"/>
      <c r="H1" s="389" t="s">
        <v>422</v>
      </c>
      <c r="I1" s="1815" t="s">
        <v>423</v>
      </c>
      <c r="J1" s="1816"/>
      <c r="K1" s="1816"/>
      <c r="L1" s="393"/>
      <c r="M1" s="393"/>
      <c r="N1" s="393"/>
    </row>
    <row r="2" spans="1:14" ht="20.3">
      <c r="A2" s="394"/>
      <c r="B2" s="1200"/>
      <c r="C2" s="397" t="s">
        <v>112</v>
      </c>
      <c r="D2" s="396">
        <f>B21</f>
        <v>1897000</v>
      </c>
      <c r="E2" s="1201" t="s">
        <v>131</v>
      </c>
      <c r="F2" s="572">
        <f>D21</f>
        <v>4707622.2472312273</v>
      </c>
      <c r="G2" s="1202" t="s">
        <v>424</v>
      </c>
      <c r="H2" s="1203">
        <f t="shared" ref="H2:H11" si="0">D2</f>
        <v>1897000</v>
      </c>
      <c r="I2" s="1817"/>
      <c r="J2" s="1818"/>
      <c r="K2" s="1818"/>
    </row>
    <row r="3" spans="1:14" ht="18.350000000000001">
      <c r="A3" s="394"/>
      <c r="B3" s="395"/>
      <c r="C3" s="397" t="s">
        <v>113</v>
      </c>
      <c r="D3" s="1204">
        <f>D2*1.049</f>
        <v>1989952.9999999998</v>
      </c>
      <c r="E3" s="397"/>
      <c r="F3" s="1204">
        <f>F2*1.049</f>
        <v>4938295.7373455567</v>
      </c>
      <c r="G3" s="397"/>
      <c r="H3" s="1204">
        <f t="shared" si="0"/>
        <v>1989952.9999999998</v>
      </c>
      <c r="I3" s="75"/>
      <c r="J3" s="75"/>
      <c r="K3" s="75"/>
    </row>
    <row r="4" spans="1:14" ht="18.350000000000001">
      <c r="A4" s="399"/>
      <c r="B4" s="1205" t="s">
        <v>425</v>
      </c>
      <c r="C4" s="397" t="s">
        <v>114</v>
      </c>
      <c r="D4" s="1204">
        <f t="shared" ref="D4:D5" si="1">D3*1.049</f>
        <v>2087460.6969999997</v>
      </c>
      <c r="E4" s="397"/>
      <c r="F4" s="1204">
        <f t="shared" ref="F4:F5" si="2">F3*1.049</f>
        <v>5180272.2284754887</v>
      </c>
      <c r="G4" s="397"/>
      <c r="H4" s="1204">
        <f t="shared" si="0"/>
        <v>2087460.6969999997</v>
      </c>
      <c r="I4" s="391"/>
      <c r="J4" s="391"/>
      <c r="K4" s="392"/>
    </row>
    <row r="5" spans="1:14" ht="18.350000000000001">
      <c r="A5" s="401"/>
      <c r="B5" s="400"/>
      <c r="C5" s="397" t="s">
        <v>115</v>
      </c>
      <c r="D5" s="1204">
        <f t="shared" si="1"/>
        <v>2189746.2711529997</v>
      </c>
      <c r="E5" s="397"/>
      <c r="F5" s="1204">
        <f t="shared" si="2"/>
        <v>5434105.5676707877</v>
      </c>
      <c r="G5" s="397"/>
      <c r="H5" s="1204">
        <f t="shared" si="0"/>
        <v>2189746.2711529997</v>
      </c>
      <c r="I5" s="391"/>
      <c r="J5" s="391"/>
      <c r="K5" s="392"/>
    </row>
    <row r="6" spans="1:14" ht="24.25">
      <c r="A6" s="1206" t="s">
        <v>426</v>
      </c>
      <c r="B6" s="1207">
        <v>1897000</v>
      </c>
      <c r="C6" s="1201" t="s">
        <v>116</v>
      </c>
      <c r="D6" s="1208">
        <f>D5*1.049</f>
        <v>2297043.8384394967</v>
      </c>
      <c r="E6" s="1201" t="s">
        <v>427</v>
      </c>
      <c r="F6" s="1208">
        <f>F5*1.049</f>
        <v>5700376.7404866563</v>
      </c>
      <c r="G6" s="1201" t="s">
        <v>116</v>
      </c>
      <c r="H6" s="1209">
        <f t="shared" si="0"/>
        <v>2297043.8384394967</v>
      </c>
      <c r="I6" s="1819" t="s">
        <v>428</v>
      </c>
      <c r="J6" s="1820"/>
      <c r="K6" s="1820"/>
      <c r="L6" s="1820"/>
      <c r="M6" s="1820"/>
    </row>
    <row r="7" spans="1:14" ht="24.25">
      <c r="A7" s="1206" t="s">
        <v>429</v>
      </c>
      <c r="B7" s="1210">
        <v>0</v>
      </c>
      <c r="C7" s="397" t="s">
        <v>117</v>
      </c>
      <c r="D7" s="1211">
        <f>D6*1.049</f>
        <v>2409598.9865230317</v>
      </c>
      <c r="E7" s="397"/>
      <c r="F7" s="1211">
        <f>F6*1.049</f>
        <v>5979695.200770502</v>
      </c>
      <c r="G7" s="397"/>
      <c r="H7" s="1212">
        <f t="shared" si="0"/>
        <v>2409598.9865230317</v>
      </c>
      <c r="I7" s="1819" t="s">
        <v>430</v>
      </c>
      <c r="J7" s="1820"/>
      <c r="K7" s="1820"/>
      <c r="L7" s="1820"/>
      <c r="M7" s="1820"/>
    </row>
    <row r="8" spans="1:14" ht="24.25">
      <c r="A8" s="1206" t="s">
        <v>431</v>
      </c>
      <c r="B8" s="1210">
        <v>0</v>
      </c>
      <c r="C8" s="397" t="s">
        <v>118</v>
      </c>
      <c r="D8" s="1211">
        <f t="shared" ref="D8:D10" si="3">D7*1.049</f>
        <v>2527669.33686266</v>
      </c>
      <c r="E8" s="397"/>
      <c r="F8" s="1211">
        <f t="shared" ref="F8:F10" si="4">F7*1.049</f>
        <v>6272700.2656082558</v>
      </c>
      <c r="G8" s="397"/>
      <c r="H8" s="1204">
        <f t="shared" si="0"/>
        <v>2527669.33686266</v>
      </c>
      <c r="I8" s="1819" t="s">
        <v>432</v>
      </c>
      <c r="J8" s="1820"/>
      <c r="K8" s="1820"/>
      <c r="L8" s="1820"/>
      <c r="M8" s="1820"/>
    </row>
    <row r="9" spans="1:14" ht="20.3">
      <c r="A9" s="1206" t="s">
        <v>433</v>
      </c>
      <c r="B9" s="1210">
        <v>0</v>
      </c>
      <c r="C9" s="397" t="s">
        <v>119</v>
      </c>
      <c r="D9" s="1211">
        <f t="shared" si="3"/>
        <v>2651525.13436893</v>
      </c>
      <c r="E9" s="397"/>
      <c r="F9" s="1211">
        <f t="shared" si="4"/>
        <v>6580062.5786230601</v>
      </c>
      <c r="G9" s="397"/>
      <c r="H9" s="1204">
        <f t="shared" si="0"/>
        <v>2651525.13436893</v>
      </c>
      <c r="I9" s="391"/>
      <c r="J9" s="391"/>
      <c r="K9" s="392"/>
    </row>
    <row r="10" spans="1:14" ht="18.350000000000001">
      <c r="A10" s="1206" t="s">
        <v>434</v>
      </c>
      <c r="B10" s="1213">
        <v>0</v>
      </c>
      <c r="C10" s="397" t="s">
        <v>120</v>
      </c>
      <c r="D10" s="1211">
        <f t="shared" si="3"/>
        <v>2781449.8659530072</v>
      </c>
      <c r="E10" s="397"/>
      <c r="F10" s="1211">
        <f t="shared" si="4"/>
        <v>6902485.6449755896</v>
      </c>
      <c r="G10" s="397"/>
      <c r="H10" s="1204">
        <f t="shared" si="0"/>
        <v>2781449.8659530072</v>
      </c>
      <c r="I10" s="75"/>
      <c r="J10" s="75"/>
      <c r="K10" s="75"/>
    </row>
    <row r="11" spans="1:14" ht="20.3">
      <c r="A11" s="1206" t="s">
        <v>435</v>
      </c>
      <c r="B11" s="1210">
        <v>0</v>
      </c>
      <c r="C11" s="1201" t="s">
        <v>121</v>
      </c>
      <c r="D11" s="1208">
        <f>D10*1.049</f>
        <v>2917740.9093847042</v>
      </c>
      <c r="E11" s="1201" t="s">
        <v>436</v>
      </c>
      <c r="F11" s="1208">
        <f>F10*1.049</f>
        <v>7240707.4415793931</v>
      </c>
      <c r="G11" s="1201" t="s">
        <v>121</v>
      </c>
      <c r="H11" s="1209">
        <f t="shared" si="0"/>
        <v>2917740.9093847042</v>
      </c>
      <c r="I11" s="391"/>
      <c r="J11" s="391"/>
      <c r="K11" s="392"/>
    </row>
    <row r="12" spans="1:14" ht="20.3">
      <c r="A12" s="1206" t="s">
        <v>189</v>
      </c>
      <c r="B12" s="1210">
        <v>0</v>
      </c>
      <c r="C12" s="397" t="s">
        <v>122</v>
      </c>
      <c r="D12" s="1211">
        <f>D11*1.049</f>
        <v>3060710.2139445543</v>
      </c>
      <c r="E12" s="397"/>
      <c r="F12" s="1212">
        <f>F11*1.049</f>
        <v>7595502.1062167827</v>
      </c>
      <c r="G12" s="397"/>
      <c r="H12" s="1212">
        <f>H11*1.049</f>
        <v>3060710.2139445543</v>
      </c>
      <c r="I12" s="391"/>
      <c r="J12" s="391"/>
      <c r="K12" s="392"/>
    </row>
    <row r="13" spans="1:14" ht="20.3">
      <c r="A13" s="1206" t="s">
        <v>19</v>
      </c>
      <c r="B13" s="1210">
        <v>0</v>
      </c>
      <c r="C13" s="397" t="s">
        <v>123</v>
      </c>
      <c r="D13" s="1211">
        <f t="shared" ref="D13:D15" si="5">D12*1.049</f>
        <v>3210685.0144278375</v>
      </c>
      <c r="E13" s="397"/>
      <c r="F13" s="1212">
        <f t="shared" ref="F13:F14" si="6">F12*1.049</f>
        <v>7967681.7094214046</v>
      </c>
      <c r="G13" s="397"/>
      <c r="H13" s="1212">
        <f t="shared" ref="H13:H15" si="7">H12*1.049</f>
        <v>3210685.0144278375</v>
      </c>
      <c r="I13" s="391"/>
      <c r="J13" s="391"/>
      <c r="K13" s="392"/>
    </row>
    <row r="14" spans="1:14" ht="20.3">
      <c r="A14" s="1206" t="s">
        <v>19</v>
      </c>
      <c r="B14" s="1210">
        <v>0</v>
      </c>
      <c r="C14" s="397" t="s">
        <v>124</v>
      </c>
      <c r="D14" s="1211">
        <f t="shared" si="5"/>
        <v>3368008.5801348011</v>
      </c>
      <c r="E14" s="397"/>
      <c r="F14" s="1212">
        <f t="shared" si="6"/>
        <v>8358098.1131830532</v>
      </c>
      <c r="G14" s="397"/>
      <c r="H14" s="1212">
        <f t="shared" si="7"/>
        <v>3368008.5801348011</v>
      </c>
      <c r="I14" s="391"/>
      <c r="J14" s="391"/>
      <c r="K14" s="392"/>
    </row>
    <row r="15" spans="1:14" ht="20.3">
      <c r="A15" s="1206" t="s">
        <v>19</v>
      </c>
      <c r="B15" s="1210">
        <v>0</v>
      </c>
      <c r="C15" s="397" t="s">
        <v>125</v>
      </c>
      <c r="D15" s="1211">
        <f t="shared" si="5"/>
        <v>3533041.0005614059</v>
      </c>
      <c r="E15" s="397"/>
      <c r="F15" s="1212">
        <f t="shared" ref="F15" si="8">F14*1.49</f>
        <v>12453566.18864275</v>
      </c>
      <c r="G15" s="397"/>
      <c r="H15" s="1212">
        <f t="shared" si="7"/>
        <v>3533041.0005614059</v>
      </c>
      <c r="I15" s="391"/>
      <c r="J15" s="391"/>
      <c r="K15" s="392"/>
    </row>
    <row r="16" spans="1:14" ht="20.3">
      <c r="A16" s="1206" t="s">
        <v>19</v>
      </c>
      <c r="B16" s="1210">
        <v>0</v>
      </c>
      <c r="C16" s="1201" t="s">
        <v>126</v>
      </c>
      <c r="D16" s="1208">
        <f>D15*1.049</f>
        <v>3706160.0095889145</v>
      </c>
      <c r="E16" s="1201" t="s">
        <v>437</v>
      </c>
      <c r="F16" s="1208">
        <f>F15*1.049</f>
        <v>13063790.931886243</v>
      </c>
      <c r="G16" s="1201" t="s">
        <v>126</v>
      </c>
      <c r="H16" s="1209">
        <f>H15*1.049</f>
        <v>3706160.0095889145</v>
      </c>
      <c r="I16" s="391"/>
      <c r="J16" s="391"/>
      <c r="K16" s="392"/>
    </row>
    <row r="17" spans="1:11" ht="20.3">
      <c r="A17" s="1206" t="s">
        <v>19</v>
      </c>
      <c r="B17" s="1210">
        <v>0</v>
      </c>
      <c r="C17" s="397" t="s">
        <v>127</v>
      </c>
      <c r="D17" s="1211">
        <f>D16*1.049</f>
        <v>3887761.8500587712</v>
      </c>
      <c r="E17" s="397"/>
      <c r="F17" s="1212">
        <f>F16*1.049</f>
        <v>13703916.687548667</v>
      </c>
      <c r="G17" s="397"/>
      <c r="H17" s="1212">
        <f>H16*1.049</f>
        <v>3887761.8500587712</v>
      </c>
      <c r="I17" s="391"/>
      <c r="J17" s="391"/>
      <c r="K17" s="392"/>
    </row>
    <row r="18" spans="1:11" ht="20.3">
      <c r="A18" s="1206" t="s">
        <v>19</v>
      </c>
      <c r="B18" s="1210">
        <v>0</v>
      </c>
      <c r="C18" s="397" t="s">
        <v>128</v>
      </c>
      <c r="D18" s="1211">
        <f t="shared" ref="D18:D20" si="9">D17*1.049</f>
        <v>4078262.1807116508</v>
      </c>
      <c r="E18" s="397"/>
      <c r="F18" s="1212">
        <f t="shared" ref="F18:F20" si="10">F17*1.049</f>
        <v>14375408.605238551</v>
      </c>
      <c r="G18" s="397"/>
      <c r="H18" s="1212">
        <f t="shared" ref="H18:H20" si="11">H17*1.049</f>
        <v>4078262.1807116508</v>
      </c>
      <c r="I18" s="391"/>
      <c r="J18" s="391"/>
      <c r="K18" s="392"/>
    </row>
    <row r="19" spans="1:11" ht="20.3">
      <c r="A19" s="1206" t="s">
        <v>19</v>
      </c>
      <c r="B19" s="1210">
        <v>0</v>
      </c>
      <c r="C19" s="397" t="s">
        <v>129</v>
      </c>
      <c r="D19" s="1211">
        <f t="shared" si="9"/>
        <v>4278097.0275665214</v>
      </c>
      <c r="E19" s="397"/>
      <c r="F19" s="1212">
        <f t="shared" si="10"/>
        <v>15079803.62689524</v>
      </c>
      <c r="G19" s="397"/>
      <c r="H19" s="1212">
        <f t="shared" si="11"/>
        <v>4278097.0275665214</v>
      </c>
      <c r="I19" s="391"/>
      <c r="J19" s="391"/>
      <c r="K19" s="392"/>
    </row>
    <row r="20" spans="1:11" ht="20.3">
      <c r="A20" s="1206" t="s">
        <v>19</v>
      </c>
      <c r="B20" s="1214">
        <v>0</v>
      </c>
      <c r="C20" s="397" t="s">
        <v>130</v>
      </c>
      <c r="D20" s="1211">
        <f t="shared" si="9"/>
        <v>4487723.7819172805</v>
      </c>
      <c r="E20" s="397"/>
      <c r="F20" s="1212">
        <f t="shared" si="10"/>
        <v>15818714.004613105</v>
      </c>
      <c r="G20" s="397"/>
      <c r="H20" s="1212">
        <f t="shared" si="11"/>
        <v>4487723.7819172805</v>
      </c>
      <c r="I20" s="391"/>
      <c r="J20" s="391"/>
      <c r="K20" s="392"/>
    </row>
    <row r="21" spans="1:11" ht="20.3">
      <c r="A21" s="1215" t="s">
        <v>438</v>
      </c>
      <c r="B21" s="1216">
        <f>B6+B7+B8+B9+B10+B11+B12+B13+B14+B15+B16+B17+B18+B19+B20</f>
        <v>1897000</v>
      </c>
      <c r="C21" s="1201" t="s">
        <v>131</v>
      </c>
      <c r="D21" s="1208">
        <f>D20*1.049</f>
        <v>4707622.2472312273</v>
      </c>
      <c r="E21" s="1201" t="s">
        <v>439</v>
      </c>
      <c r="F21" s="1208">
        <f>F20*1.049</f>
        <v>16593830.990839146</v>
      </c>
      <c r="G21" s="1201" t="s">
        <v>131</v>
      </c>
      <c r="H21" s="1209">
        <f>H20*1.049</f>
        <v>4707622.2472312273</v>
      </c>
      <c r="I21" s="391"/>
      <c r="J21" s="391"/>
      <c r="K21" s="392"/>
    </row>
    <row r="22" spans="1:11" ht="15.05">
      <c r="A22" s="410"/>
      <c r="B22" s="400"/>
      <c r="C22" s="411"/>
      <c r="D22" s="411"/>
      <c r="E22" s="411"/>
      <c r="F22" s="411"/>
      <c r="G22" s="411"/>
      <c r="H22" s="411"/>
      <c r="I22" s="391"/>
      <c r="J22" s="391"/>
      <c r="K22" s="392"/>
    </row>
    <row r="23" spans="1:11" ht="20.3">
      <c r="A23" s="1217"/>
      <c r="B23" s="1218"/>
      <c r="C23" s="1219"/>
      <c r="D23" s="1220"/>
      <c r="E23" s="1219"/>
      <c r="F23" s="1220"/>
      <c r="G23" s="1219"/>
      <c r="H23" s="1220"/>
      <c r="I23" s="1221"/>
      <c r="J23" s="1221"/>
      <c r="K23" s="1222"/>
    </row>
    <row r="24" spans="1:11" ht="17.7">
      <c r="A24" s="75"/>
      <c r="B24" s="400"/>
      <c r="C24" s="75"/>
      <c r="D24" s="417"/>
      <c r="E24" s="75"/>
      <c r="F24" s="417"/>
      <c r="G24" s="75"/>
      <c r="H24" s="417"/>
      <c r="I24" s="75"/>
      <c r="J24" s="75"/>
      <c r="K24" s="75"/>
    </row>
    <row r="25" spans="1:11" ht="15.05">
      <c r="A25" s="411"/>
      <c r="B25" s="400"/>
      <c r="C25" s="411"/>
      <c r="D25" s="418"/>
      <c r="E25" s="411"/>
      <c r="F25" s="418"/>
      <c r="G25" s="411"/>
      <c r="H25" s="418"/>
      <c r="I25" s="75"/>
      <c r="J25" s="75"/>
      <c r="K25" s="75"/>
    </row>
    <row r="26" spans="1:11" ht="15.05">
      <c r="A26" s="75"/>
      <c r="B26" s="400"/>
      <c r="C26" s="75"/>
      <c r="D26" s="411"/>
      <c r="E26" s="75"/>
      <c r="F26" s="411"/>
      <c r="G26" s="75"/>
      <c r="H26" s="411"/>
      <c r="I26" s="75"/>
      <c r="J26" s="75"/>
      <c r="K26" s="75"/>
    </row>
    <row r="27" spans="1:11" ht="17.7">
      <c r="A27" s="411"/>
      <c r="B27" s="400"/>
      <c r="C27" s="411"/>
      <c r="D27" s="419"/>
      <c r="E27" s="411"/>
      <c r="F27" s="419"/>
      <c r="G27" s="411"/>
      <c r="H27" s="419"/>
      <c r="I27" s="75"/>
      <c r="J27" s="75"/>
      <c r="K27" s="75"/>
    </row>
    <row r="28" spans="1:11" ht="15.05">
      <c r="A28" s="75"/>
      <c r="B28" s="400"/>
      <c r="C28" s="75"/>
      <c r="D28" s="75"/>
      <c r="E28" s="75"/>
      <c r="F28" s="75"/>
      <c r="G28" s="75"/>
      <c r="H28" s="75"/>
      <c r="I28" s="75"/>
      <c r="J28" s="75"/>
      <c r="K28" s="75"/>
    </row>
    <row r="29" spans="1:11" ht="15.05">
      <c r="A29" s="411"/>
      <c r="B29" s="400"/>
      <c r="C29" s="411"/>
      <c r="D29" s="420"/>
      <c r="E29" s="411"/>
      <c r="F29" s="420"/>
      <c r="G29" s="411"/>
      <c r="H29" s="420"/>
      <c r="I29" s="75"/>
      <c r="J29" s="75"/>
      <c r="K29" s="75"/>
    </row>
    <row r="30" spans="1:11" ht="15.05">
      <c r="A30" s="75"/>
      <c r="B30" s="400"/>
      <c r="C30" s="75"/>
      <c r="D30" s="75"/>
      <c r="E30" s="75"/>
      <c r="F30" s="75"/>
      <c r="G30" s="75"/>
      <c r="H30" s="75"/>
      <c r="I30" s="75"/>
      <c r="J30" s="75"/>
      <c r="K30" s="75"/>
    </row>
    <row r="31" spans="1:11" ht="15.05">
      <c r="A31" s="75"/>
      <c r="B31" s="400"/>
      <c r="C31" s="75"/>
      <c r="D31" s="75"/>
      <c r="E31" s="75"/>
      <c r="F31" s="75"/>
      <c r="G31" s="75"/>
      <c r="H31" s="75"/>
      <c r="I31" s="75"/>
      <c r="J31" s="75"/>
      <c r="K31" s="75"/>
    </row>
    <row r="32" spans="1:11" ht="15.05">
      <c r="A32" s="75"/>
      <c r="B32" s="400"/>
      <c r="C32" s="75"/>
      <c r="D32" s="75"/>
      <c r="E32" s="75"/>
      <c r="F32" s="75"/>
      <c r="G32" s="75"/>
      <c r="H32" s="75"/>
      <c r="I32" s="75"/>
      <c r="J32" s="75"/>
      <c r="K32" s="75"/>
    </row>
    <row r="33" spans="1:11" ht="15.05">
      <c r="A33" s="75"/>
      <c r="B33" s="400"/>
      <c r="C33" s="75"/>
      <c r="D33" s="75"/>
      <c r="E33" s="75"/>
      <c r="F33" s="75"/>
      <c r="G33" s="75"/>
      <c r="H33" s="75"/>
      <c r="I33" s="75"/>
      <c r="J33" s="75"/>
      <c r="K33" s="75"/>
    </row>
    <row r="34" spans="1:11" ht="15.05">
      <c r="A34" s="75"/>
      <c r="B34" s="400"/>
      <c r="C34" s="75"/>
      <c r="D34" s="75"/>
      <c r="E34" s="75"/>
      <c r="F34" s="75"/>
      <c r="G34" s="75"/>
      <c r="H34" s="75"/>
      <c r="I34" s="75"/>
      <c r="J34" s="75"/>
      <c r="K34" s="75"/>
    </row>
    <row r="35" spans="1:11" ht="15.05">
      <c r="A35" s="75"/>
      <c r="B35" s="400"/>
      <c r="C35" s="75"/>
      <c r="D35" s="75"/>
      <c r="E35" s="75"/>
      <c r="F35" s="75"/>
      <c r="G35" s="75"/>
      <c r="H35" s="75"/>
      <c r="I35" s="75"/>
      <c r="J35" s="75"/>
      <c r="K35" s="75"/>
    </row>
    <row r="36" spans="1:11" ht="15.05">
      <c r="A36" s="75"/>
      <c r="B36" s="400"/>
      <c r="C36" s="75"/>
      <c r="D36" s="75"/>
      <c r="E36" s="75"/>
      <c r="F36" s="75"/>
      <c r="G36" s="75"/>
      <c r="H36" s="75"/>
      <c r="I36" s="75"/>
      <c r="J36" s="75"/>
      <c r="K36" s="75"/>
    </row>
    <row r="37" spans="1:11" ht="15.05">
      <c r="A37" s="75"/>
      <c r="B37" s="400"/>
      <c r="C37" s="75"/>
      <c r="D37" s="75"/>
      <c r="E37" s="75"/>
      <c r="F37" s="75"/>
      <c r="G37" s="75"/>
      <c r="H37" s="75"/>
      <c r="I37" s="75"/>
      <c r="J37" s="75"/>
      <c r="K37" s="75"/>
    </row>
    <row r="38" spans="1:11" ht="15.05">
      <c r="A38" s="75"/>
      <c r="B38" s="400"/>
      <c r="C38" s="75"/>
      <c r="D38" s="75"/>
      <c r="E38" s="75"/>
      <c r="F38" s="75"/>
      <c r="G38" s="75"/>
      <c r="H38" s="75"/>
      <c r="I38" s="75"/>
      <c r="J38" s="75"/>
      <c r="K38" s="75"/>
    </row>
    <row r="39" spans="1:11" ht="15.05">
      <c r="A39" s="75"/>
      <c r="B39" s="400"/>
      <c r="C39" s="75"/>
      <c r="D39" s="75"/>
      <c r="E39" s="75"/>
      <c r="F39" s="75"/>
      <c r="G39" s="75"/>
      <c r="H39" s="75"/>
      <c r="I39" s="75"/>
      <c r="J39" s="75"/>
      <c r="K39" s="75"/>
    </row>
    <row r="40" spans="1:11">
      <c r="A40" s="75"/>
      <c r="B40" s="75"/>
      <c r="C40" s="75"/>
      <c r="D40" s="75"/>
      <c r="E40" s="75"/>
      <c r="F40" s="75"/>
      <c r="G40" s="75"/>
      <c r="H40" s="75"/>
      <c r="I40" s="75"/>
      <c r="J40" s="75"/>
      <c r="K40" s="75"/>
    </row>
    <row r="41" spans="1:11">
      <c r="A41" s="75"/>
      <c r="B41" s="75"/>
      <c r="C41" s="75"/>
      <c r="D41" s="75"/>
      <c r="E41" s="75"/>
      <c r="F41" s="75"/>
      <c r="G41" s="75"/>
      <c r="H41" s="75"/>
      <c r="I41" s="75"/>
      <c r="J41" s="75"/>
      <c r="K41" s="75"/>
    </row>
    <row r="42" spans="1:11">
      <c r="A42" s="75"/>
      <c r="B42" s="75"/>
      <c r="C42" s="75"/>
      <c r="D42" s="75"/>
      <c r="E42" s="75"/>
      <c r="F42" s="75"/>
      <c r="G42" s="75"/>
      <c r="H42" s="75"/>
      <c r="I42" s="75"/>
      <c r="J42" s="75"/>
      <c r="K42" s="75"/>
    </row>
    <row r="43" spans="1:11">
      <c r="A43" s="75"/>
      <c r="B43" s="75"/>
      <c r="C43" s="75"/>
      <c r="D43" s="75"/>
      <c r="E43" s="75"/>
      <c r="F43" s="75"/>
      <c r="G43" s="75"/>
      <c r="H43" s="75"/>
      <c r="I43" s="75"/>
      <c r="J43" s="75"/>
      <c r="K43" s="75"/>
    </row>
    <row r="44" spans="1:11">
      <c r="A44" s="75"/>
      <c r="B44" s="75"/>
      <c r="C44" s="75"/>
      <c r="D44" s="75"/>
      <c r="E44" s="75"/>
      <c r="F44" s="75"/>
      <c r="G44" s="75"/>
      <c r="H44" s="75"/>
      <c r="I44" s="75"/>
      <c r="J44" s="75"/>
      <c r="K44" s="75"/>
    </row>
    <row r="45" spans="1:11">
      <c r="A45" s="75"/>
      <c r="B45" s="75"/>
      <c r="C45" s="75"/>
      <c r="D45" s="75"/>
      <c r="E45" s="75"/>
      <c r="F45" s="75"/>
      <c r="G45" s="75"/>
      <c r="H45" s="75"/>
      <c r="I45" s="75"/>
      <c r="J45" s="75"/>
      <c r="K45" s="75"/>
    </row>
    <row r="46" spans="1:11">
      <c r="A46" s="75"/>
      <c r="B46" s="75"/>
      <c r="C46" s="75"/>
      <c r="D46" s="75"/>
      <c r="E46" s="75"/>
      <c r="F46" s="75"/>
      <c r="G46" s="75"/>
      <c r="H46" s="75"/>
      <c r="I46" s="75"/>
      <c r="J46" s="75"/>
      <c r="K46" s="75"/>
    </row>
    <row r="47" spans="1:11">
      <c r="A47" s="75"/>
      <c r="B47" s="75"/>
      <c r="C47" s="75"/>
      <c r="D47" s="75"/>
      <c r="E47" s="75"/>
      <c r="F47" s="75"/>
      <c r="G47" s="75"/>
      <c r="H47" s="75"/>
      <c r="I47" s="75"/>
      <c r="J47" s="75"/>
      <c r="K47" s="75"/>
    </row>
    <row r="48" spans="1:11">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sheetData>
  <mergeCells count="5">
    <mergeCell ref="I1:K1"/>
    <mergeCell ref="I2:K2"/>
    <mergeCell ref="I6:M6"/>
    <mergeCell ref="I7:M7"/>
    <mergeCell ref="I8:M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55"/>
  <sheetViews>
    <sheetView showGridLines="0" workbookViewId="0"/>
  </sheetViews>
  <sheetFormatPr defaultRowHeight="12.45"/>
  <cols>
    <col min="1" max="1" width="22" customWidth="1"/>
    <col min="2" max="2" width="21.125" customWidth="1"/>
    <col min="3" max="3" width="21.25" customWidth="1"/>
    <col min="4" max="4" width="19.375" customWidth="1"/>
    <col min="5" max="5" width="18" customWidth="1"/>
    <col min="6" max="6" width="18.375" customWidth="1"/>
    <col min="7" max="7" width="11.125" customWidth="1"/>
    <col min="9" max="10" width="15.75" customWidth="1"/>
    <col min="11" max="11" width="18.375" customWidth="1"/>
  </cols>
  <sheetData>
    <row r="1" spans="1:20" ht="15.75">
      <c r="A1" s="1223" t="s">
        <v>440</v>
      </c>
      <c r="B1" s="1224" t="s">
        <v>441</v>
      </c>
      <c r="C1" s="1225" t="s">
        <v>442</v>
      </c>
      <c r="D1" s="1226" t="s">
        <v>443</v>
      </c>
      <c r="T1" s="1227"/>
    </row>
    <row r="2" spans="1:20" ht="15.05">
      <c r="A2" s="1228" t="s">
        <v>444</v>
      </c>
      <c r="B2" s="1229">
        <v>0</v>
      </c>
      <c r="C2" s="1230">
        <v>0</v>
      </c>
      <c r="D2" s="1231">
        <v>0</v>
      </c>
    </row>
    <row r="3" spans="1:20" ht="15.05">
      <c r="A3" s="1228" t="s">
        <v>445</v>
      </c>
      <c r="B3" s="1229">
        <v>0</v>
      </c>
      <c r="C3" s="1232">
        <v>8.0000000000000002E-3</v>
      </c>
      <c r="D3" s="1233">
        <v>40000</v>
      </c>
    </row>
    <row r="4" spans="1:20" ht="15.05">
      <c r="A4" s="1228" t="s">
        <v>446</v>
      </c>
      <c r="B4" s="1229">
        <v>400</v>
      </c>
      <c r="C4" s="1232">
        <v>1.6E-2</v>
      </c>
      <c r="D4" s="1233">
        <v>90000</v>
      </c>
    </row>
    <row r="5" spans="1:20" ht="15.05">
      <c r="A5" s="1228" t="s">
        <v>447</v>
      </c>
      <c r="B5" s="1229">
        <v>1200</v>
      </c>
      <c r="C5" s="1232">
        <v>2.4E-2</v>
      </c>
      <c r="D5" s="1233">
        <v>140000</v>
      </c>
    </row>
    <row r="6" spans="1:20" ht="15.05">
      <c r="A6" s="1228" t="s">
        <v>448</v>
      </c>
      <c r="B6" s="1229">
        <v>3600</v>
      </c>
      <c r="C6" s="1232">
        <v>3.2000000000000001E-2</v>
      </c>
      <c r="D6" s="1233">
        <v>240000</v>
      </c>
    </row>
    <row r="7" spans="1:20" ht="15.05">
      <c r="A7" s="1228" t="s">
        <v>449</v>
      </c>
      <c r="B7" s="1229">
        <v>10000</v>
      </c>
      <c r="C7" s="1234">
        <v>0.04</v>
      </c>
      <c r="D7" s="1233">
        <v>440000</v>
      </c>
    </row>
    <row r="8" spans="1:20" ht="15.05">
      <c r="A8" s="1228" t="s">
        <v>450</v>
      </c>
      <c r="B8" s="1229">
        <v>18000</v>
      </c>
      <c r="C8" s="1232">
        <v>4.8000000000000001E-2</v>
      </c>
      <c r="D8" s="1233">
        <v>640000</v>
      </c>
    </row>
    <row r="9" spans="1:20" ht="15.05">
      <c r="A9" s="1228" t="s">
        <v>451</v>
      </c>
      <c r="B9" s="1229">
        <v>27600</v>
      </c>
      <c r="C9" s="1232">
        <v>5.6000000000000001E-2</v>
      </c>
      <c r="D9" s="1233">
        <v>840000</v>
      </c>
    </row>
    <row r="10" spans="1:20" ht="15.05">
      <c r="A10" s="1228" t="s">
        <v>452</v>
      </c>
      <c r="B10" s="1229">
        <v>38800</v>
      </c>
      <c r="C10" s="1232">
        <v>6.4000000000000001E-2</v>
      </c>
      <c r="D10" s="1233">
        <v>1040000</v>
      </c>
    </row>
    <row r="11" spans="1:20" ht="15.05">
      <c r="A11" s="1228" t="s">
        <v>453</v>
      </c>
      <c r="B11" s="1229">
        <v>70800</v>
      </c>
      <c r="C11" s="1232">
        <v>7.1999999999999995E-2</v>
      </c>
      <c r="D11" s="1233">
        <v>1054000</v>
      </c>
    </row>
    <row r="12" spans="1:20" ht="15.05">
      <c r="A12" s="1228" t="s">
        <v>454</v>
      </c>
      <c r="B12" s="1229">
        <v>106800</v>
      </c>
      <c r="C12" s="1234">
        <v>0.08</v>
      </c>
      <c r="D12" s="1233">
        <v>2040000</v>
      </c>
    </row>
    <row r="13" spans="1:20" ht="15.05">
      <c r="A13" s="1228" t="s">
        <v>455</v>
      </c>
      <c r="B13" s="1229">
        <v>146800</v>
      </c>
      <c r="C13" s="1232">
        <v>8.7999999999999995E-2</v>
      </c>
      <c r="D13" s="1233">
        <v>2054000</v>
      </c>
    </row>
    <row r="14" spans="1:20" ht="15.05">
      <c r="A14" s="1228" t="s">
        <v>456</v>
      </c>
      <c r="B14" s="1229">
        <v>190800</v>
      </c>
      <c r="C14" s="1232">
        <v>9.6000000000000002E-2</v>
      </c>
      <c r="D14" s="1233">
        <v>3040000</v>
      </c>
    </row>
    <row r="15" spans="1:20" ht="15.05">
      <c r="A15" s="1228" t="s">
        <v>457</v>
      </c>
      <c r="B15" s="1229">
        <v>238800</v>
      </c>
      <c r="C15" s="1232">
        <v>0.104</v>
      </c>
      <c r="D15" s="1233">
        <v>3540000</v>
      </c>
    </row>
    <row r="16" spans="1:20" ht="15.05">
      <c r="A16" s="1228" t="s">
        <v>458</v>
      </c>
      <c r="B16" s="1229">
        <v>290800</v>
      </c>
      <c r="C16" s="1232">
        <v>0.112</v>
      </c>
      <c r="D16" s="1233">
        <v>4040000</v>
      </c>
    </row>
    <row r="17" spans="1:11" ht="15.05">
      <c r="A17" s="1228" t="s">
        <v>459</v>
      </c>
      <c r="B17" s="1229">
        <v>402800</v>
      </c>
      <c r="C17" s="1234">
        <v>0.12</v>
      </c>
      <c r="D17" s="1233">
        <v>5040000</v>
      </c>
    </row>
    <row r="18" spans="1:11" ht="15.05">
      <c r="A18" s="1228" t="s">
        <v>460</v>
      </c>
      <c r="B18" s="1229">
        <v>522800</v>
      </c>
      <c r="C18" s="1232">
        <v>0.128</v>
      </c>
      <c r="D18" s="1233">
        <v>6040000</v>
      </c>
    </row>
    <row r="19" spans="1:11" ht="15.05">
      <c r="A19" s="1228" t="s">
        <v>461</v>
      </c>
      <c r="B19" s="1229">
        <v>650800</v>
      </c>
      <c r="C19" s="1232">
        <v>0.13600000000000001</v>
      </c>
      <c r="D19" s="1233">
        <v>7040000</v>
      </c>
    </row>
    <row r="20" spans="1:11" ht="15.05">
      <c r="A20" s="1228" t="s">
        <v>462</v>
      </c>
      <c r="B20" s="1229">
        <v>786800</v>
      </c>
      <c r="C20" s="1232">
        <v>0.14399999999999999</v>
      </c>
      <c r="D20" s="1233">
        <v>8040000</v>
      </c>
    </row>
    <row r="21" spans="1:11" ht="30.15">
      <c r="A21" s="1228" t="s">
        <v>463</v>
      </c>
      <c r="B21" s="1229">
        <v>938800</v>
      </c>
      <c r="C21" s="1232">
        <v>0.152</v>
      </c>
      <c r="D21" s="1233">
        <v>9040000</v>
      </c>
    </row>
    <row r="22" spans="1:11" ht="15.05">
      <c r="A22" s="1228" t="s">
        <v>464</v>
      </c>
      <c r="B22" s="1229">
        <v>1082800</v>
      </c>
      <c r="C22" s="1234">
        <v>0.16</v>
      </c>
      <c r="D22" s="1233">
        <v>10040000</v>
      </c>
    </row>
    <row r="25" spans="1:11" ht="15.05">
      <c r="A25" s="1832" t="s">
        <v>465</v>
      </c>
      <c r="B25" s="1832"/>
      <c r="C25" s="1832"/>
      <c r="D25" s="1832"/>
      <c r="E25" s="1832"/>
      <c r="F25" s="1832"/>
      <c r="G25" s="1832"/>
      <c r="H25" s="1832"/>
      <c r="I25" s="1832"/>
      <c r="J25" s="1832"/>
      <c r="K25" s="1832"/>
    </row>
    <row r="26" spans="1:11" ht="15.05">
      <c r="A26" s="1833" t="s">
        <v>466</v>
      </c>
      <c r="B26" s="1834"/>
      <c r="C26" s="1834"/>
      <c r="D26" s="1834"/>
      <c r="E26" s="1833"/>
      <c r="F26" s="1834"/>
      <c r="G26" s="1834"/>
      <c r="H26" s="1833"/>
      <c r="I26" s="1833"/>
      <c r="J26" s="1833"/>
      <c r="K26" s="1833"/>
    </row>
    <row r="27" spans="1:11" ht="15.05">
      <c r="B27" s="1235"/>
      <c r="C27" s="1236" t="s">
        <v>467</v>
      </c>
      <c r="D27" s="1235"/>
      <c r="F27" s="1835" t="s">
        <v>468</v>
      </c>
      <c r="G27" s="1835"/>
      <c r="I27" s="1836" t="s">
        <v>469</v>
      </c>
      <c r="J27" s="1836"/>
    </row>
    <row r="28" spans="1:11" ht="15.05">
      <c r="B28" s="1238"/>
      <c r="C28" s="1239" t="s">
        <v>470</v>
      </c>
      <c r="D28" s="1238"/>
      <c r="F28" s="1837" t="s">
        <v>471</v>
      </c>
      <c r="G28" s="1837"/>
      <c r="I28" s="1838"/>
      <c r="J28" s="1838"/>
    </row>
    <row r="29" spans="1:11">
      <c r="A29" s="1074"/>
      <c r="F29" s="262"/>
      <c r="G29" s="262"/>
      <c r="I29" s="262"/>
      <c r="J29" s="262"/>
      <c r="K29" s="262"/>
    </row>
    <row r="30" spans="1:11" ht="15.75">
      <c r="A30" s="1240"/>
      <c r="B30" s="1241" t="s">
        <v>472</v>
      </c>
      <c r="C30" s="1242">
        <v>707622.24723122735</v>
      </c>
      <c r="D30" s="226"/>
      <c r="E30" s="1237" t="s">
        <v>473</v>
      </c>
      <c r="F30" s="1243">
        <v>640000</v>
      </c>
      <c r="H30" s="1237" t="s">
        <v>474</v>
      </c>
      <c r="I30" s="1244">
        <f>C30-F30</f>
        <v>67622.247231227346</v>
      </c>
      <c r="J30" s="1245"/>
    </row>
    <row r="31" spans="1:11" ht="15.05">
      <c r="A31" s="1240"/>
      <c r="B31" s="1246" t="s">
        <v>475</v>
      </c>
    </row>
    <row r="32" spans="1:11" ht="15.05">
      <c r="A32" s="1240"/>
      <c r="B32" s="1246" t="s">
        <v>476</v>
      </c>
      <c r="C32" s="262" t="s">
        <v>477</v>
      </c>
      <c r="D32" s="262"/>
      <c r="F32" s="1826" t="s">
        <v>478</v>
      </c>
      <c r="G32" s="1826"/>
      <c r="I32" s="1827" t="s">
        <v>479</v>
      </c>
      <c r="J32" s="1827"/>
      <c r="K32" s="1827"/>
    </row>
    <row r="33" spans="1:11" ht="15.05">
      <c r="A33" s="1240"/>
      <c r="B33" s="1246" t="s">
        <v>480</v>
      </c>
      <c r="C33" s="1247" t="s">
        <v>481</v>
      </c>
      <c r="D33" s="1247"/>
      <c r="F33" s="1828" t="s">
        <v>471</v>
      </c>
      <c r="G33" s="1829"/>
      <c r="I33" s="1821" t="s">
        <v>482</v>
      </c>
      <c r="J33" s="1821"/>
      <c r="K33" s="1821"/>
    </row>
    <row r="34" spans="1:11" ht="15.05">
      <c r="A34" s="1240"/>
      <c r="B34" s="282" t="s">
        <v>200</v>
      </c>
      <c r="C34" s="262"/>
      <c r="D34" s="262"/>
      <c r="F34" s="262"/>
      <c r="G34" s="262"/>
    </row>
    <row r="35" spans="1:11" ht="15.75">
      <c r="C35" s="1248">
        <f>I30</f>
        <v>67622.247231227346</v>
      </c>
      <c r="E35" s="1237" t="s">
        <v>483</v>
      </c>
      <c r="F35" s="1249">
        <v>4.8000000000000001E-2</v>
      </c>
      <c r="H35" s="1237" t="s">
        <v>474</v>
      </c>
      <c r="J35" s="1250">
        <f>C35*F35</f>
        <v>3245.8678670989125</v>
      </c>
    </row>
    <row r="36" spans="1:11">
      <c r="B36" s="262"/>
      <c r="C36" s="262"/>
      <c r="D36" s="262"/>
      <c r="F36" s="262"/>
      <c r="G36" s="262"/>
      <c r="I36" s="262"/>
      <c r="J36" s="262"/>
      <c r="K36" s="262"/>
    </row>
    <row r="38" spans="1:11" ht="15.05">
      <c r="B38" s="1827" t="s">
        <v>484</v>
      </c>
      <c r="C38" s="1827"/>
      <c r="D38" s="1827"/>
      <c r="F38" s="1830" t="s">
        <v>485</v>
      </c>
      <c r="G38" s="1830"/>
      <c r="I38" s="1831"/>
      <c r="J38" s="1831"/>
      <c r="K38" s="1831"/>
    </row>
    <row r="39" spans="1:11" ht="15.75">
      <c r="B39" s="1821" t="s">
        <v>486</v>
      </c>
      <c r="C39" s="1821"/>
      <c r="D39" s="1821"/>
      <c r="F39" s="1822" t="s">
        <v>471</v>
      </c>
      <c r="G39" s="1822"/>
      <c r="I39" s="1823" t="s">
        <v>487</v>
      </c>
      <c r="J39" s="1824"/>
      <c r="K39" s="1824"/>
    </row>
    <row r="40" spans="1:11" ht="15.05">
      <c r="B40" s="262"/>
      <c r="C40" s="262"/>
      <c r="D40" s="262"/>
      <c r="F40" s="262"/>
      <c r="G40" s="262"/>
      <c r="H40" s="1237" t="s">
        <v>102</v>
      </c>
      <c r="I40" s="262"/>
      <c r="J40" s="1251">
        <v>60000</v>
      </c>
      <c r="K40" s="262"/>
    </row>
    <row r="41" spans="1:11" ht="15.75">
      <c r="B41" s="262"/>
      <c r="C41" s="1252">
        <f>J35</f>
        <v>3245.8678670989125</v>
      </c>
      <c r="D41" s="262"/>
      <c r="E41" s="1237" t="s">
        <v>488</v>
      </c>
      <c r="F41" s="1253">
        <v>18000</v>
      </c>
      <c r="G41" s="262"/>
      <c r="I41" s="262"/>
      <c r="J41" s="1254">
        <f>C41+F41-J40</f>
        <v>-38754.132132901083</v>
      </c>
      <c r="K41" s="1255"/>
    </row>
    <row r="43" spans="1:11" ht="15.05">
      <c r="A43" s="1256"/>
      <c r="B43" s="1256"/>
      <c r="C43" s="1256"/>
      <c r="D43" s="1256"/>
      <c r="E43" s="1256"/>
      <c r="F43" s="1256"/>
      <c r="G43" s="1256"/>
      <c r="H43" s="1256"/>
      <c r="I43" s="1256"/>
      <c r="J43" s="1256"/>
      <c r="K43" s="1256"/>
    </row>
    <row r="44" spans="1:11">
      <c r="A44" s="421"/>
      <c r="B44" s="421"/>
      <c r="C44" s="421"/>
      <c r="D44" s="421"/>
      <c r="E44" s="421"/>
      <c r="F44" s="421"/>
      <c r="G44" s="421"/>
      <c r="H44" s="421"/>
      <c r="I44" s="421"/>
      <c r="J44" s="421"/>
      <c r="K44" s="421"/>
    </row>
    <row r="45" spans="1:11" ht="15.75">
      <c r="A45" s="421"/>
      <c r="B45" s="421"/>
      <c r="C45" s="421"/>
      <c r="D45" s="1825" t="s">
        <v>489</v>
      </c>
      <c r="E45" s="1825"/>
      <c r="F45" s="1825"/>
      <c r="G45" s="1825"/>
      <c r="H45" s="421"/>
      <c r="I45" s="421"/>
      <c r="J45" s="421"/>
      <c r="K45" s="421"/>
    </row>
    <row r="46" spans="1:11" ht="15.75">
      <c r="A46" s="421"/>
      <c r="B46" s="421"/>
      <c r="C46" s="421"/>
      <c r="D46" s="1825" t="s">
        <v>490</v>
      </c>
      <c r="E46" s="1825"/>
      <c r="F46" s="1825"/>
      <c r="G46" s="1825"/>
      <c r="H46" s="421"/>
      <c r="I46" s="421"/>
      <c r="J46" s="421"/>
      <c r="K46" s="421"/>
    </row>
    <row r="47" spans="1:11" ht="15.75">
      <c r="A47" s="421"/>
      <c r="B47" s="421"/>
      <c r="C47" s="421"/>
      <c r="D47" s="1257"/>
      <c r="E47" s="1257"/>
      <c r="F47" s="1257"/>
      <c r="G47" s="1257"/>
      <c r="H47" s="421"/>
      <c r="I47" s="421"/>
      <c r="J47" s="421"/>
      <c r="K47" s="421"/>
    </row>
    <row r="48" spans="1:11" ht="15.75">
      <c r="A48" s="421"/>
      <c r="B48" s="421"/>
      <c r="C48" s="421"/>
      <c r="D48" s="1258" t="s">
        <v>491</v>
      </c>
      <c r="E48" s="1259">
        <v>4000000</v>
      </c>
      <c r="F48" s="1260" t="s">
        <v>492</v>
      </c>
      <c r="G48" s="1257"/>
      <c r="H48" s="421"/>
      <c r="I48" s="421"/>
      <c r="J48" s="421"/>
      <c r="K48" s="421"/>
    </row>
    <row r="49" spans="1:11" ht="15.75">
      <c r="B49" s="1237" t="s">
        <v>493</v>
      </c>
      <c r="D49" s="1261" t="s">
        <v>494</v>
      </c>
      <c r="E49" s="291"/>
      <c r="F49" s="291"/>
      <c r="G49" s="291"/>
    </row>
    <row r="50" spans="1:11" ht="15.75">
      <c r="B50" s="1237" t="s">
        <v>495</v>
      </c>
      <c r="C50" s="1237" t="s">
        <v>496</v>
      </c>
      <c r="D50" s="1262" t="s">
        <v>497</v>
      </c>
      <c r="E50" s="1237" t="s">
        <v>498</v>
      </c>
    </row>
    <row r="51" spans="1:11" ht="24.25">
      <c r="A51" s="1263" t="s">
        <v>472</v>
      </c>
      <c r="B51" s="1264"/>
      <c r="C51" s="1265">
        <v>4000000</v>
      </c>
      <c r="D51" s="1266">
        <f>B51-C51</f>
        <v>-4000000</v>
      </c>
      <c r="E51" s="1267">
        <v>0</v>
      </c>
      <c r="F51" s="421"/>
      <c r="G51" s="421"/>
      <c r="H51" s="421"/>
      <c r="I51" s="421"/>
      <c r="J51" s="421"/>
      <c r="K51" s="421"/>
    </row>
    <row r="52" spans="1:11" ht="18.350000000000001">
      <c r="A52" s="1268" t="s">
        <v>499</v>
      </c>
      <c r="B52" s="1264"/>
      <c r="C52" s="1254">
        <v>4000000</v>
      </c>
      <c r="D52" s="1266">
        <f>B52-C52</f>
        <v>-4000000</v>
      </c>
      <c r="E52" s="1267">
        <v>0</v>
      </c>
      <c r="F52" s="421"/>
      <c r="G52" s="421"/>
      <c r="H52" s="421"/>
      <c r="I52" s="421"/>
      <c r="J52" s="421"/>
      <c r="K52" s="421"/>
    </row>
    <row r="53" spans="1:11" ht="18.350000000000001">
      <c r="A53" s="231" t="s">
        <v>500</v>
      </c>
      <c r="B53" s="1264"/>
      <c r="C53" s="1254">
        <v>4000000</v>
      </c>
      <c r="D53" s="1266">
        <f>B53-C53</f>
        <v>-4000000</v>
      </c>
      <c r="E53" s="1267">
        <v>0</v>
      </c>
      <c r="F53" s="421"/>
      <c r="G53" s="421"/>
      <c r="H53" s="421"/>
      <c r="I53" s="421"/>
      <c r="J53" s="421"/>
      <c r="K53" s="421"/>
    </row>
    <row r="54" spans="1:11" ht="18.350000000000001">
      <c r="A54" s="231" t="s">
        <v>501</v>
      </c>
      <c r="B54" s="1264"/>
      <c r="C54" s="1254">
        <v>4000000</v>
      </c>
      <c r="D54" s="1266">
        <f>B54-C54</f>
        <v>-4000000</v>
      </c>
      <c r="E54" s="1267">
        <v>0</v>
      </c>
      <c r="F54" s="421"/>
      <c r="G54" s="421"/>
      <c r="H54" s="421"/>
      <c r="I54" s="421"/>
      <c r="J54" s="421"/>
      <c r="K54" s="421"/>
    </row>
    <row r="55" spans="1:11" ht="18.350000000000001">
      <c r="A55" s="231" t="s">
        <v>502</v>
      </c>
      <c r="B55" s="1264"/>
      <c r="C55" s="1254">
        <v>4000000</v>
      </c>
      <c r="D55" s="1266">
        <f>B55-C55</f>
        <v>-4000000</v>
      </c>
      <c r="E55" s="1267">
        <v>0</v>
      </c>
      <c r="F55" s="421"/>
      <c r="G55" s="421"/>
      <c r="H55" s="421"/>
      <c r="I55" s="421"/>
      <c r="J55" s="421"/>
      <c r="K55" s="421"/>
    </row>
  </sheetData>
  <mergeCells count="18">
    <mergeCell ref="A25:K25"/>
    <mergeCell ref="A26:K26"/>
    <mergeCell ref="F27:G27"/>
    <mergeCell ref="I27:J27"/>
    <mergeCell ref="F28:G28"/>
    <mergeCell ref="I28:J28"/>
    <mergeCell ref="F32:G32"/>
    <mergeCell ref="I32:K32"/>
    <mergeCell ref="F33:G33"/>
    <mergeCell ref="I33:K33"/>
    <mergeCell ref="B38:D38"/>
    <mergeCell ref="F38:G38"/>
    <mergeCell ref="I38:K38"/>
    <mergeCell ref="B39:D39"/>
    <mergeCell ref="F39:G39"/>
    <mergeCell ref="I39:K39"/>
    <mergeCell ref="D45:G45"/>
    <mergeCell ref="D46:G46"/>
  </mergeCells>
  <dataValidations count="4">
    <dataValidation type="list" allowBlank="1" showInputMessage="1" showErrorMessage="1" sqref="C30" xr:uid="{00000000-0002-0000-1B00-000000000000}">
      <formula1>$D$51:$D$55</formula1>
    </dataValidation>
    <dataValidation type="list" allowBlank="1" showInputMessage="1" showErrorMessage="1" sqref="F41" xr:uid="{00000000-0002-0000-1B00-000001000000}">
      <formula1>$B$2:$B$22</formula1>
    </dataValidation>
    <dataValidation type="list" allowBlank="1" showInputMessage="1" showErrorMessage="1" sqref="F35" xr:uid="{00000000-0002-0000-1B00-000002000000}">
      <formula1>$C$2:$C$22</formula1>
    </dataValidation>
    <dataValidation type="list" allowBlank="1" showInputMessage="1" showErrorMessage="1" sqref="F30" xr:uid="{00000000-0002-0000-1B00-000003000000}">
      <formula1>$D$2:$D$22</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4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heetViews>
  <sheetFormatPr defaultRowHeight="12.4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66"/>
  <sheetViews>
    <sheetView workbookViewId="0"/>
  </sheetViews>
  <sheetFormatPr defaultRowHeight="12.45"/>
  <cols>
    <col min="4" max="4" width="18" customWidth="1"/>
    <col min="6" max="6" width="12.25" customWidth="1"/>
    <col min="7" max="7" width="19.25" customWidth="1"/>
    <col min="13" max="13" width="14.25" customWidth="1"/>
    <col min="15" max="15" width="12.625" customWidth="1"/>
  </cols>
  <sheetData>
    <row r="1" spans="1:28" s="1271" customFormat="1" ht="29.65" customHeight="1">
      <c r="A1" s="1847" t="s">
        <v>503</v>
      </c>
      <c r="B1" s="1847"/>
      <c r="C1" s="1270"/>
      <c r="D1" s="1847" t="s">
        <v>504</v>
      </c>
      <c r="E1" s="1847"/>
      <c r="F1" s="1270"/>
      <c r="G1" s="1269" t="s">
        <v>505</v>
      </c>
      <c r="I1" s="1847" t="s">
        <v>506</v>
      </c>
      <c r="J1" s="1847"/>
      <c r="L1" s="1848" t="s">
        <v>507</v>
      </c>
      <c r="M1" s="1848"/>
      <c r="N1" s="1848" t="s">
        <v>508</v>
      </c>
      <c r="O1" s="1848"/>
    </row>
    <row r="2" spans="1:28" s="1272" customFormat="1" ht="20.3">
      <c r="A2" s="1849">
        <v>1637000</v>
      </c>
      <c r="B2" s="1849"/>
      <c r="D2" s="1850">
        <v>439000</v>
      </c>
      <c r="E2" s="1850"/>
      <c r="G2" s="1273">
        <v>1198000</v>
      </c>
      <c r="I2" s="1851">
        <f>G2/10</f>
        <v>119800</v>
      </c>
      <c r="J2" s="1851"/>
      <c r="L2" s="1851">
        <f>+I2*0.37</f>
        <v>44326</v>
      </c>
      <c r="M2" s="1851"/>
      <c r="N2" s="1852">
        <f>L2*10</f>
        <v>443260</v>
      </c>
      <c r="O2" s="1853"/>
      <c r="W2" s="1271"/>
      <c r="X2" s="1271"/>
      <c r="Y2" s="1271"/>
      <c r="Z2" s="1271"/>
      <c r="AA2" s="1271"/>
      <c r="AB2" s="1274"/>
    </row>
    <row r="3" spans="1:28" ht="15.05">
      <c r="A3" s="1275"/>
      <c r="B3" s="1275"/>
      <c r="C3" s="1275"/>
      <c r="D3" s="1275"/>
      <c r="E3" s="1275"/>
      <c r="F3" s="1275"/>
      <c r="G3" s="1275"/>
      <c r="H3" s="1275"/>
      <c r="I3" s="1275"/>
      <c r="J3" s="1275"/>
      <c r="K3" s="1275"/>
      <c r="L3" s="1275"/>
      <c r="M3" s="1275"/>
      <c r="N3" s="1275"/>
      <c r="O3" s="1275"/>
      <c r="P3" s="1275"/>
      <c r="Q3" s="1275"/>
      <c r="R3" s="1275"/>
      <c r="S3" s="1275"/>
      <c r="T3" s="1275"/>
      <c r="U3" s="1275"/>
      <c r="V3" s="1275"/>
      <c r="W3" s="1271"/>
      <c r="X3" s="1271"/>
      <c r="Y3" s="1271"/>
      <c r="Z3" s="1271"/>
      <c r="AA3" s="1271"/>
      <c r="AB3" s="1276"/>
    </row>
    <row r="4" spans="1:28" ht="15.05">
      <c r="A4" s="1275"/>
      <c r="B4" s="1275"/>
      <c r="C4" s="1275"/>
      <c r="D4" s="1275"/>
      <c r="E4" s="1275"/>
      <c r="F4" s="1275"/>
      <c r="G4" s="1275"/>
      <c r="H4" s="1275"/>
      <c r="I4" s="1275"/>
      <c r="J4" s="1275"/>
      <c r="K4" s="1275"/>
      <c r="L4" s="1275"/>
      <c r="M4" s="1275"/>
      <c r="N4" s="1275"/>
      <c r="O4" s="1275"/>
      <c r="P4" s="1275"/>
      <c r="Q4" s="1275"/>
      <c r="R4" s="1275"/>
      <c r="S4" s="1275"/>
      <c r="T4" s="1275"/>
      <c r="U4" s="1275"/>
      <c r="V4" s="1275"/>
      <c r="W4" s="1271"/>
      <c r="X4" s="1271"/>
      <c r="Y4" s="1271"/>
      <c r="Z4" s="1271"/>
      <c r="AA4" s="1271"/>
      <c r="AB4" s="1276"/>
    </row>
    <row r="5" spans="1:28" ht="15.05">
      <c r="A5" s="1275"/>
      <c r="B5" s="1275"/>
      <c r="C5" s="1275"/>
      <c r="D5" s="1275"/>
      <c r="E5" s="1275"/>
      <c r="F5" s="1275"/>
      <c r="G5" s="1275"/>
      <c r="H5" s="1275"/>
      <c r="I5" s="1275"/>
      <c r="J5" s="1275"/>
      <c r="K5" s="1275"/>
      <c r="L5" s="1275"/>
      <c r="M5" s="1275"/>
      <c r="N5" s="1275"/>
      <c r="O5" s="1275"/>
      <c r="P5" s="1275"/>
      <c r="Q5" s="1275"/>
      <c r="R5" s="1275"/>
      <c r="S5" s="1275"/>
      <c r="T5" s="1275"/>
      <c r="U5" s="1275"/>
      <c r="V5" s="1275"/>
      <c r="W5" s="1271"/>
      <c r="X5" s="1271"/>
      <c r="Y5" s="1271"/>
      <c r="Z5" s="1271"/>
      <c r="AA5" s="1271"/>
      <c r="AB5" s="1276"/>
    </row>
    <row r="6" spans="1:28" ht="15.05">
      <c r="A6" s="1275"/>
      <c r="B6" s="1275"/>
      <c r="C6" s="1275"/>
      <c r="D6" s="1275"/>
      <c r="E6" s="1275"/>
      <c r="F6" s="1275"/>
      <c r="G6" s="1275"/>
      <c r="H6" s="1275"/>
      <c r="I6" s="1275"/>
      <c r="J6" s="1275"/>
      <c r="K6" s="1275"/>
      <c r="L6" s="1275"/>
      <c r="M6" s="1275"/>
      <c r="N6" s="1275"/>
      <c r="O6" s="1275"/>
      <c r="P6" s="1275"/>
      <c r="Q6" s="1275"/>
      <c r="R6" s="1275"/>
      <c r="S6" s="1275"/>
      <c r="T6" s="1275"/>
      <c r="U6" s="1275"/>
      <c r="V6" s="1275"/>
      <c r="W6" s="1271"/>
      <c r="X6" s="1271"/>
      <c r="Y6" s="1271"/>
      <c r="Z6" s="1271"/>
      <c r="AA6" s="1271"/>
      <c r="AB6" s="1276"/>
    </row>
    <row r="7" spans="1:28" ht="15.75">
      <c r="A7" s="1275"/>
      <c r="B7" s="1275"/>
      <c r="C7" s="1277" t="s">
        <v>59</v>
      </c>
      <c r="D7" s="1277" t="s">
        <v>509</v>
      </c>
      <c r="E7" s="156"/>
      <c r="F7" s="1277" t="s">
        <v>510</v>
      </c>
      <c r="G7" s="1277" t="s">
        <v>511</v>
      </c>
      <c r="H7" s="156"/>
      <c r="I7" s="1844" t="s">
        <v>512</v>
      </c>
      <c r="J7" s="1844"/>
      <c r="K7" s="1845" t="s">
        <v>513</v>
      </c>
      <c r="L7" s="1845"/>
      <c r="M7" s="1845"/>
      <c r="N7" s="1845"/>
      <c r="O7" s="1845"/>
      <c r="P7" s="1275"/>
      <c r="Q7" s="1275"/>
      <c r="R7" s="1275"/>
      <c r="S7" s="1275"/>
      <c r="T7" s="1275"/>
      <c r="U7" s="1275"/>
      <c r="V7" s="1275"/>
      <c r="W7" s="1271"/>
      <c r="X7" s="1271"/>
      <c r="Y7" s="1271"/>
      <c r="Z7" s="1271"/>
      <c r="AA7" s="1271"/>
      <c r="AB7" s="1276"/>
    </row>
    <row r="8" spans="1:28" ht="15.05">
      <c r="A8" s="1278"/>
      <c r="B8" s="1278"/>
      <c r="C8" s="1278"/>
      <c r="D8" s="1278"/>
      <c r="E8" s="1278"/>
      <c r="F8" s="1278"/>
      <c r="G8" s="1278"/>
      <c r="H8" s="1275"/>
      <c r="I8" s="1846"/>
      <c r="J8" s="1846"/>
      <c r="K8" s="1275"/>
      <c r="L8" s="1275"/>
      <c r="M8" s="1275"/>
      <c r="N8" s="1275"/>
      <c r="O8" s="1275"/>
      <c r="P8" s="1275"/>
      <c r="Q8" s="1275"/>
      <c r="R8" s="1275"/>
      <c r="S8" s="1275"/>
      <c r="T8" s="1275"/>
      <c r="U8" s="1275"/>
      <c r="V8" s="1275"/>
      <c r="W8" s="1271"/>
      <c r="X8" s="1271"/>
      <c r="Y8" s="1271"/>
      <c r="Z8" s="1271"/>
      <c r="AA8" s="1271"/>
      <c r="AB8" s="1276"/>
    </row>
    <row r="9" spans="1:28" ht="19.649999999999999">
      <c r="A9" s="1275"/>
      <c r="B9" s="1275"/>
      <c r="C9" s="1270">
        <v>2022</v>
      </c>
      <c r="D9" s="1279"/>
      <c r="E9" s="1840"/>
      <c r="F9" s="1840"/>
      <c r="G9" s="1280">
        <f>N2</f>
        <v>443260</v>
      </c>
      <c r="H9" s="1275"/>
      <c r="I9" s="1841">
        <f>E9+G9</f>
        <v>443260</v>
      </c>
      <c r="J9" s="1842"/>
      <c r="K9" s="1843" t="s">
        <v>514</v>
      </c>
      <c r="L9" s="1843"/>
      <c r="M9" s="1843"/>
      <c r="N9" s="1843"/>
      <c r="O9" s="1843"/>
      <c r="P9" s="1275"/>
      <c r="Q9" s="1275"/>
      <c r="R9" s="1275"/>
      <c r="S9" s="1275"/>
      <c r="T9" s="1275"/>
      <c r="U9" s="1275"/>
      <c r="V9" s="1275"/>
      <c r="W9" s="1271"/>
      <c r="X9" s="1271"/>
      <c r="Y9" s="1271"/>
      <c r="Z9" s="1271"/>
      <c r="AA9" s="1271"/>
      <c r="AB9" s="1276"/>
    </row>
    <row r="10" spans="1:28" ht="15.05">
      <c r="A10" s="1275"/>
      <c r="B10" s="1275"/>
      <c r="C10" s="1275"/>
      <c r="D10" s="1275"/>
      <c r="E10" s="1275"/>
      <c r="F10" s="1275"/>
      <c r="G10" s="1275"/>
      <c r="H10" s="1275"/>
      <c r="I10" s="1275"/>
      <c r="J10" s="1275"/>
      <c r="K10" s="1839" t="s">
        <v>515</v>
      </c>
      <c r="L10" s="1839"/>
      <c r="M10" s="1839"/>
      <c r="N10" s="1839"/>
      <c r="O10" s="1839"/>
      <c r="P10" s="1275"/>
      <c r="Q10" s="1275"/>
      <c r="R10" s="1275"/>
      <c r="S10" s="1275"/>
      <c r="T10" s="1275"/>
      <c r="U10" s="1275"/>
      <c r="V10" s="1275"/>
      <c r="W10" s="1271"/>
      <c r="X10" s="1271"/>
      <c r="Y10" s="1271"/>
      <c r="Z10" s="1271"/>
      <c r="AA10" s="1271"/>
      <c r="AB10" s="1276"/>
    </row>
    <row r="11" spans="1:28" ht="15.05">
      <c r="A11" s="1275"/>
      <c r="B11" s="1275"/>
      <c r="C11" s="1275"/>
      <c r="D11" s="1275"/>
      <c r="E11" s="1275"/>
      <c r="F11" s="1275"/>
      <c r="G11" s="1275"/>
      <c r="H11" s="1275"/>
      <c r="I11" s="1275"/>
      <c r="J11" s="1275"/>
      <c r="K11" s="1275"/>
      <c r="L11" s="1275"/>
      <c r="M11" s="1275"/>
      <c r="N11" s="1275"/>
      <c r="O11" s="1275"/>
      <c r="P11" s="1275"/>
      <c r="Q11" s="1275"/>
      <c r="R11" s="1275"/>
      <c r="S11" s="1275"/>
      <c r="T11" s="1275"/>
      <c r="U11" s="1275"/>
      <c r="V11" s="1275"/>
      <c r="W11" s="1271"/>
      <c r="X11" s="1271"/>
      <c r="Y11" s="1271"/>
      <c r="Z11" s="1271"/>
      <c r="AA11" s="1271"/>
      <c r="AB11" s="1276"/>
    </row>
    <row r="12" spans="1:28" ht="15.05">
      <c r="A12" s="1275"/>
      <c r="B12" s="1275"/>
      <c r="C12" s="1275"/>
      <c r="D12" s="1275"/>
      <c r="E12" s="1275"/>
      <c r="F12" s="1275"/>
      <c r="G12" s="1275"/>
      <c r="H12" s="1275"/>
      <c r="I12" s="1275"/>
      <c r="J12" s="1275"/>
      <c r="K12" s="1275"/>
      <c r="L12" s="1275"/>
      <c r="M12" s="1275"/>
      <c r="N12" s="1275"/>
      <c r="O12" s="1275"/>
      <c r="P12" s="1275"/>
      <c r="Q12" s="1275"/>
      <c r="R12" s="1275"/>
      <c r="S12" s="1275"/>
      <c r="T12" s="1275"/>
      <c r="U12" s="1275"/>
      <c r="V12" s="1275"/>
      <c r="W12" s="1271"/>
      <c r="X12" s="1271"/>
      <c r="Y12" s="1271"/>
      <c r="Z12" s="1271"/>
      <c r="AA12" s="1271"/>
      <c r="AB12" s="1276"/>
    </row>
    <row r="13" spans="1:28" ht="19.649999999999999">
      <c r="A13" s="1275"/>
      <c r="B13" s="1275"/>
      <c r="C13" s="1270" t="s">
        <v>475</v>
      </c>
      <c r="D13" s="1279"/>
      <c r="E13" s="1840"/>
      <c r="F13" s="1840"/>
      <c r="G13" s="1280">
        <f>G9</f>
        <v>443260</v>
      </c>
      <c r="H13" s="1275"/>
      <c r="I13" s="1841">
        <f>E13+G13</f>
        <v>443260</v>
      </c>
      <c r="J13" s="1842"/>
      <c r="K13" s="1843" t="s">
        <v>514</v>
      </c>
      <c r="L13" s="1843"/>
      <c r="M13" s="1843"/>
      <c r="N13" s="1843"/>
      <c r="O13" s="1843"/>
      <c r="P13" s="1275"/>
      <c r="Q13" s="1275"/>
      <c r="R13" s="1275"/>
      <c r="S13" s="1275"/>
      <c r="T13" s="1275"/>
      <c r="U13" s="1275"/>
      <c r="V13" s="1275"/>
      <c r="W13" s="1271"/>
      <c r="X13" s="1271"/>
      <c r="Y13" s="1271"/>
      <c r="Z13" s="1271"/>
      <c r="AA13" s="1271"/>
      <c r="AB13" s="1276"/>
    </row>
    <row r="14" spans="1:28" ht="15.05">
      <c r="A14" s="1275"/>
      <c r="B14" s="1275"/>
      <c r="C14" s="1275"/>
      <c r="D14" s="1275"/>
      <c r="E14" s="1275"/>
      <c r="F14" s="1275"/>
      <c r="G14" s="1275"/>
      <c r="H14" s="1275"/>
      <c r="I14" s="1275"/>
      <c r="J14" s="1275"/>
      <c r="K14" s="1839" t="s">
        <v>515</v>
      </c>
      <c r="L14" s="1839"/>
      <c r="M14" s="1839"/>
      <c r="N14" s="1839"/>
      <c r="O14" s="1839"/>
      <c r="P14" s="1275"/>
      <c r="Q14" s="1275"/>
      <c r="R14" s="1275"/>
      <c r="S14" s="1275"/>
      <c r="T14" s="1275"/>
      <c r="U14" s="1275"/>
      <c r="V14" s="1275"/>
      <c r="W14" s="1271"/>
      <c r="X14" s="1271"/>
      <c r="Y14" s="1271"/>
      <c r="Z14" s="1271"/>
      <c r="AA14" s="1271"/>
      <c r="AB14" s="1276"/>
    </row>
    <row r="15" spans="1:28" ht="15.05">
      <c r="A15" s="1275"/>
      <c r="B15" s="1275"/>
      <c r="C15" s="1275"/>
      <c r="D15" s="1275"/>
      <c r="E15" s="1275"/>
      <c r="F15" s="1275"/>
      <c r="G15" s="1275"/>
      <c r="H15" s="1275"/>
      <c r="I15" s="1275"/>
      <c r="J15" s="1275"/>
      <c r="K15" s="1275"/>
      <c r="L15" s="1275"/>
      <c r="M15" s="1275"/>
      <c r="N15" s="1275"/>
      <c r="O15" s="1275"/>
      <c r="P15" s="1275"/>
      <c r="Q15" s="1275"/>
      <c r="R15" s="1275"/>
      <c r="S15" s="1275"/>
      <c r="T15" s="1275"/>
      <c r="U15" s="1275"/>
      <c r="V15" s="1275"/>
      <c r="W15" s="1271"/>
      <c r="X15" s="1271"/>
      <c r="Y15" s="1271"/>
      <c r="Z15" s="1271"/>
      <c r="AA15" s="1271"/>
      <c r="AB15" s="1276"/>
    </row>
    <row r="16" spans="1:28" ht="15.05">
      <c r="A16" s="1275"/>
      <c r="B16" s="1275"/>
      <c r="C16" s="1275"/>
      <c r="D16" s="1275"/>
      <c r="E16" s="1275"/>
      <c r="F16" s="1275"/>
      <c r="G16" s="1275"/>
      <c r="H16" s="1275"/>
      <c r="I16" s="1275"/>
      <c r="J16" s="1275"/>
      <c r="K16" s="1275"/>
      <c r="L16" s="1275"/>
      <c r="M16" s="1275"/>
      <c r="N16" s="1275"/>
      <c r="O16" s="1275"/>
      <c r="P16" s="1275"/>
      <c r="Q16" s="1275"/>
      <c r="R16" s="1275"/>
      <c r="S16" s="1275"/>
      <c r="T16" s="1275"/>
      <c r="U16" s="1275"/>
      <c r="V16" s="1275"/>
      <c r="W16" s="1271"/>
      <c r="X16" s="1271"/>
      <c r="Y16" s="1271"/>
      <c r="Z16" s="1271"/>
      <c r="AA16" s="1271"/>
      <c r="AB16" s="1276"/>
    </row>
    <row r="17" spans="1:28" ht="19.649999999999999">
      <c r="A17" s="1275"/>
      <c r="B17" s="1275"/>
      <c r="C17" s="1270" t="s">
        <v>476</v>
      </c>
      <c r="D17" s="1279"/>
      <c r="E17" s="1840"/>
      <c r="F17" s="1840"/>
      <c r="G17" s="1280">
        <f>G13</f>
        <v>443260</v>
      </c>
      <c r="H17" s="1275"/>
      <c r="I17" s="1841">
        <f>E17+G17</f>
        <v>443260</v>
      </c>
      <c r="J17" s="1842"/>
      <c r="K17" s="1843" t="s">
        <v>514</v>
      </c>
      <c r="L17" s="1843"/>
      <c r="M17" s="1843"/>
      <c r="N17" s="1843"/>
      <c r="O17" s="1843"/>
      <c r="P17" s="1275"/>
      <c r="Q17" s="1275"/>
      <c r="R17" s="1275"/>
      <c r="S17" s="1275"/>
      <c r="T17" s="1275"/>
      <c r="U17" s="1275"/>
      <c r="V17" s="1275"/>
      <c r="W17" s="1271"/>
      <c r="X17" s="1271"/>
      <c r="Y17" s="1271"/>
      <c r="Z17" s="1271"/>
      <c r="AA17" s="1271"/>
      <c r="AB17" s="1276"/>
    </row>
    <row r="18" spans="1:28" ht="15.05">
      <c r="A18" s="1275"/>
      <c r="B18" s="1275"/>
      <c r="C18" s="1275"/>
      <c r="D18" s="1275"/>
      <c r="E18" s="1275"/>
      <c r="F18" s="1275"/>
      <c r="G18" s="1275"/>
      <c r="H18" s="1275"/>
      <c r="I18" s="1275"/>
      <c r="J18" s="1275"/>
      <c r="K18" s="1839" t="s">
        <v>515</v>
      </c>
      <c r="L18" s="1839"/>
      <c r="M18" s="1839"/>
      <c r="N18" s="1839"/>
      <c r="O18" s="1839"/>
      <c r="P18" s="1275"/>
      <c r="Q18" s="1275"/>
      <c r="R18" s="1275"/>
      <c r="S18" s="1275"/>
      <c r="T18" s="1275"/>
      <c r="U18" s="1275"/>
      <c r="V18" s="1275"/>
      <c r="W18" s="1271"/>
      <c r="X18" s="1271"/>
      <c r="Y18" s="1271"/>
      <c r="Z18" s="1271"/>
      <c r="AA18" s="1271"/>
      <c r="AB18" s="1276"/>
    </row>
    <row r="19" spans="1:28" ht="15.05">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c r="W19" s="1271"/>
      <c r="X19" s="1271"/>
      <c r="Y19" s="1271"/>
      <c r="Z19" s="1271"/>
      <c r="AA19" s="1271"/>
      <c r="AB19" s="1276"/>
    </row>
    <row r="20" spans="1:28" ht="15.05">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c r="W20" s="1271"/>
      <c r="X20" s="1271"/>
      <c r="Y20" s="1271"/>
      <c r="Z20" s="1271"/>
      <c r="AA20" s="1271"/>
      <c r="AB20" s="1276"/>
    </row>
    <row r="21" spans="1:28" ht="19.649999999999999">
      <c r="A21" s="1275"/>
      <c r="B21" s="1275"/>
      <c r="C21" s="1270" t="s">
        <v>480</v>
      </c>
      <c r="D21" s="1279"/>
      <c r="E21" s="1840"/>
      <c r="F21" s="1840"/>
      <c r="G21" s="1280">
        <f>G17</f>
        <v>443260</v>
      </c>
      <c r="H21" s="1275"/>
      <c r="I21" s="1841">
        <f>E21+G21</f>
        <v>443260</v>
      </c>
      <c r="J21" s="1842"/>
      <c r="K21" s="1843" t="s">
        <v>514</v>
      </c>
      <c r="L21" s="1843"/>
      <c r="M21" s="1843"/>
      <c r="N21" s="1843"/>
      <c r="O21" s="1843"/>
      <c r="P21" s="1275"/>
      <c r="Q21" s="1275"/>
      <c r="R21" s="1275"/>
      <c r="S21" s="1275"/>
      <c r="T21" s="1275"/>
      <c r="U21" s="1275"/>
      <c r="V21" s="1275"/>
      <c r="W21" s="1271"/>
      <c r="X21" s="1271"/>
      <c r="Y21" s="1271"/>
      <c r="Z21" s="1271"/>
      <c r="AA21" s="1271"/>
      <c r="AB21" s="1276"/>
    </row>
    <row r="22" spans="1:28" ht="15.05">
      <c r="A22" s="1275"/>
      <c r="B22" s="1275"/>
      <c r="C22" s="1275"/>
      <c r="D22" s="1275"/>
      <c r="E22" s="1275"/>
      <c r="F22" s="1275"/>
      <c r="G22" s="1275"/>
      <c r="H22" s="1275"/>
      <c r="I22" s="1275"/>
      <c r="J22" s="1275"/>
      <c r="K22" s="1839" t="s">
        <v>515</v>
      </c>
      <c r="L22" s="1839"/>
      <c r="M22" s="1839"/>
      <c r="N22" s="1839"/>
      <c r="O22" s="1839"/>
      <c r="P22" s="1275"/>
      <c r="Q22" s="1275"/>
      <c r="R22" s="1275"/>
      <c r="S22" s="1275"/>
      <c r="T22" s="1275"/>
      <c r="U22" s="1275"/>
      <c r="V22" s="1275"/>
      <c r="W22" s="1271"/>
      <c r="X22" s="1271"/>
      <c r="Y22" s="1271"/>
      <c r="Z22" s="1271"/>
      <c r="AA22" s="1271"/>
      <c r="AB22" s="1276"/>
    </row>
    <row r="23" spans="1:28" ht="15.05">
      <c r="A23" s="1275"/>
      <c r="B23" s="1275"/>
      <c r="C23" s="1275"/>
      <c r="D23" s="1275"/>
      <c r="E23" s="1275"/>
      <c r="F23" s="1275"/>
      <c r="G23" s="1275"/>
      <c r="H23" s="1275"/>
      <c r="I23" s="1275"/>
      <c r="J23" s="1275"/>
      <c r="K23" s="1275"/>
      <c r="L23" s="1275"/>
      <c r="M23" s="1275"/>
      <c r="N23" s="1275"/>
      <c r="O23" s="1275"/>
      <c r="P23" s="1275"/>
      <c r="Q23" s="1275"/>
      <c r="R23" s="1275"/>
      <c r="S23" s="1275"/>
      <c r="T23" s="1275"/>
      <c r="U23" s="1275"/>
      <c r="V23" s="1275"/>
      <c r="W23" s="1271"/>
      <c r="X23" s="1271"/>
      <c r="Y23" s="1271"/>
      <c r="Z23" s="1271"/>
      <c r="AA23" s="1271"/>
      <c r="AB23" s="1276"/>
    </row>
    <row r="24" spans="1:28" ht="15.05">
      <c r="A24" s="1275"/>
      <c r="B24" s="1275"/>
      <c r="C24" s="1275"/>
      <c r="D24" s="1275"/>
      <c r="E24" s="1275"/>
      <c r="F24" s="1275"/>
      <c r="G24" s="1275"/>
      <c r="H24" s="1275"/>
      <c r="I24" s="1275"/>
      <c r="J24" s="1275"/>
      <c r="K24" s="1275"/>
      <c r="L24" s="1275"/>
      <c r="M24" s="1275"/>
      <c r="N24" s="1275"/>
      <c r="O24" s="1275"/>
      <c r="P24" s="1275"/>
      <c r="Q24" s="1275"/>
      <c r="R24" s="1275"/>
      <c r="S24" s="1275"/>
      <c r="T24" s="1275"/>
      <c r="U24" s="1275"/>
      <c r="V24" s="1275"/>
      <c r="W24" s="1271"/>
      <c r="X24" s="1271"/>
      <c r="Y24" s="1271"/>
      <c r="Z24" s="1271"/>
      <c r="AA24" s="1271"/>
      <c r="AB24" s="1276"/>
    </row>
    <row r="25" spans="1:28" ht="19.649999999999999">
      <c r="A25" s="1275"/>
      <c r="B25" s="1275"/>
      <c r="C25" s="1270" t="s">
        <v>200</v>
      </c>
      <c r="D25" s="1279"/>
      <c r="E25" s="1840"/>
      <c r="F25" s="1840"/>
      <c r="G25" s="1280">
        <f>G21</f>
        <v>443260</v>
      </c>
      <c r="H25" s="1275"/>
      <c r="I25" s="1841">
        <f>E25+G25</f>
        <v>443260</v>
      </c>
      <c r="J25" s="1842"/>
      <c r="K25" s="1843" t="s">
        <v>514</v>
      </c>
      <c r="L25" s="1843"/>
      <c r="M25" s="1843"/>
      <c r="N25" s="1843"/>
      <c r="O25" s="1843"/>
      <c r="P25" s="1275"/>
      <c r="Q25" s="1275"/>
      <c r="R25" s="1275"/>
      <c r="S25" s="1275"/>
      <c r="T25" s="1275"/>
      <c r="U25" s="1275"/>
      <c r="V25" s="1275"/>
      <c r="W25" s="1271"/>
      <c r="X25" s="1271"/>
      <c r="Y25" s="1271"/>
      <c r="Z25" s="1271"/>
      <c r="AA25" s="1271"/>
      <c r="AB25" s="1276"/>
    </row>
    <row r="26" spans="1:28" ht="15.05">
      <c r="A26" s="1275"/>
      <c r="B26" s="1275"/>
      <c r="C26" s="1275"/>
      <c r="D26" s="1275"/>
      <c r="E26" s="1275"/>
      <c r="F26" s="1275"/>
      <c r="G26" s="1275"/>
      <c r="H26" s="1275"/>
      <c r="I26" s="1275"/>
      <c r="J26" s="1275"/>
      <c r="K26" s="1839" t="s">
        <v>515</v>
      </c>
      <c r="L26" s="1839"/>
      <c r="M26" s="1839"/>
      <c r="N26" s="1839"/>
      <c r="O26" s="1839"/>
      <c r="P26" s="1275"/>
      <c r="Q26" s="1275"/>
      <c r="R26" s="1275"/>
      <c r="S26" s="1275"/>
      <c r="T26" s="1275"/>
      <c r="U26" s="1275"/>
      <c r="V26" s="1275"/>
      <c r="W26" s="1271"/>
      <c r="X26" s="1271"/>
      <c r="Y26" s="1271"/>
      <c r="Z26" s="1271"/>
      <c r="AA26" s="1271"/>
      <c r="AB26" s="1276"/>
    </row>
    <row r="27" spans="1:28" ht="15.05">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c r="W27" s="1271"/>
      <c r="X27" s="1271"/>
      <c r="Y27" s="1271"/>
      <c r="Z27" s="1271"/>
      <c r="AA27" s="1271"/>
      <c r="AB27" s="1276"/>
    </row>
    <row r="28" spans="1:28" ht="15.05">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c r="W28" s="1271"/>
      <c r="X28" s="1271"/>
      <c r="Y28" s="1271"/>
      <c r="Z28" s="1271"/>
      <c r="AA28" s="1271"/>
      <c r="AB28" s="1276"/>
    </row>
    <row r="29" spans="1:28" ht="15.05">
      <c r="A29" s="1275"/>
      <c r="B29" s="1275"/>
      <c r="C29" s="1275"/>
      <c r="D29" s="1275"/>
      <c r="E29" s="1275"/>
      <c r="F29" s="1275"/>
      <c r="G29" s="1275"/>
      <c r="H29" s="1275"/>
      <c r="I29" s="1275"/>
      <c r="J29" s="1275"/>
      <c r="K29" s="1275"/>
      <c r="L29" s="1275"/>
      <c r="M29" s="1275"/>
      <c r="N29" s="1275"/>
      <c r="O29" s="1275"/>
      <c r="P29" s="1275"/>
      <c r="Q29" s="1275"/>
      <c r="R29" s="1275"/>
      <c r="S29" s="1275"/>
      <c r="T29" s="1275"/>
      <c r="U29" s="1275"/>
      <c r="V29" s="1275"/>
      <c r="W29" s="1271"/>
      <c r="X29" s="1271"/>
      <c r="Y29" s="1271"/>
      <c r="Z29" s="1271"/>
      <c r="AA29" s="1271"/>
      <c r="AB29" s="1276"/>
    </row>
    <row r="30" spans="1:28" ht="15.05">
      <c r="A30" s="1275"/>
      <c r="B30" s="1275"/>
      <c r="C30" s="1275"/>
      <c r="D30" s="1275"/>
      <c r="E30" s="1275"/>
      <c r="F30" s="1275"/>
      <c r="G30" s="1275"/>
      <c r="H30" s="1275"/>
      <c r="I30" s="1275"/>
      <c r="J30" s="1275"/>
      <c r="K30" s="1275"/>
      <c r="L30" s="1275"/>
      <c r="M30" s="1275"/>
      <c r="N30" s="1275"/>
      <c r="O30" s="1275"/>
      <c r="P30" s="1275"/>
      <c r="Q30" s="1275"/>
      <c r="R30" s="1275"/>
      <c r="S30" s="1275"/>
      <c r="T30" s="1275"/>
      <c r="U30" s="1275"/>
      <c r="V30" s="1275"/>
      <c r="W30" s="1271"/>
      <c r="X30" s="1271"/>
      <c r="Y30" s="1271"/>
      <c r="Z30" s="1271"/>
      <c r="AA30" s="1271"/>
      <c r="AB30" s="1276"/>
    </row>
    <row r="31" spans="1:28" ht="15.05">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c r="W31" s="1271"/>
      <c r="X31" s="1271"/>
      <c r="Y31" s="1271"/>
      <c r="Z31" s="1271"/>
      <c r="AA31" s="1271"/>
      <c r="AB31" s="1276"/>
    </row>
    <row r="32" spans="1:28" ht="15.05">
      <c r="A32" s="1275"/>
      <c r="B32" s="1275"/>
      <c r="C32" s="1275"/>
      <c r="D32" s="1275"/>
      <c r="E32" s="1275"/>
      <c r="F32" s="1275"/>
      <c r="G32" s="1275"/>
      <c r="H32" s="1275"/>
      <c r="I32" s="1275"/>
      <c r="J32" s="1275"/>
      <c r="K32" s="1275"/>
      <c r="L32" s="1275"/>
      <c r="M32" s="1275"/>
      <c r="N32" s="1275"/>
      <c r="O32" s="1275"/>
      <c r="P32" s="1275"/>
      <c r="Q32" s="1275"/>
      <c r="R32" s="1275"/>
      <c r="S32" s="1275"/>
      <c r="T32" s="1275"/>
      <c r="U32" s="1275"/>
      <c r="V32" s="1275"/>
      <c r="W32" s="1271"/>
      <c r="X32" s="1271"/>
      <c r="Y32" s="1271"/>
      <c r="Z32" s="1271"/>
      <c r="AA32" s="1271"/>
      <c r="AB32" s="1276"/>
    </row>
    <row r="33" spans="1:28" ht="15.05">
      <c r="A33" s="1275"/>
      <c r="B33" s="1275"/>
      <c r="C33" s="1275"/>
      <c r="D33" s="1275"/>
      <c r="E33" s="1275"/>
      <c r="F33" s="1275"/>
      <c r="G33" s="1275"/>
      <c r="H33" s="1275"/>
      <c r="I33" s="1275"/>
      <c r="J33" s="1275"/>
      <c r="K33" s="1275"/>
      <c r="L33" s="1275"/>
      <c r="M33" s="1275"/>
      <c r="N33" s="1275"/>
      <c r="O33" s="1275"/>
      <c r="P33" s="1275"/>
      <c r="Q33" s="1275"/>
      <c r="R33" s="1275"/>
      <c r="S33" s="1275"/>
      <c r="T33" s="1275"/>
      <c r="U33" s="1275"/>
      <c r="V33" s="1275"/>
      <c r="W33" s="1271"/>
      <c r="X33" s="1271"/>
      <c r="Y33" s="1271"/>
      <c r="Z33" s="1271"/>
      <c r="AA33" s="1271"/>
      <c r="AB33" s="1276"/>
    </row>
    <row r="34" spans="1:28" ht="15.05">
      <c r="A34" s="1275"/>
      <c r="B34" s="1275"/>
      <c r="C34" s="1275"/>
      <c r="D34" s="1275"/>
      <c r="E34" s="1275"/>
      <c r="F34" s="1275"/>
      <c r="G34" s="1275"/>
      <c r="H34" s="1275"/>
      <c r="I34" s="1275"/>
      <c r="J34" s="1275"/>
      <c r="K34" s="1275"/>
      <c r="L34" s="1275"/>
      <c r="M34" s="1275"/>
      <c r="N34" s="1275"/>
      <c r="O34" s="1275"/>
      <c r="P34" s="1275"/>
      <c r="Q34" s="1275"/>
      <c r="R34" s="1275"/>
      <c r="S34" s="1275"/>
      <c r="T34" s="1275"/>
      <c r="U34" s="1275"/>
      <c r="V34" s="1275"/>
      <c r="W34" s="1271"/>
      <c r="X34" s="1271"/>
      <c r="Y34" s="1271"/>
      <c r="Z34" s="1271"/>
      <c r="AA34" s="1271"/>
      <c r="AB34" s="1276"/>
    </row>
    <row r="35" spans="1:28" ht="15.05">
      <c r="A35" s="1275"/>
      <c r="B35" s="1275"/>
      <c r="C35" s="1275"/>
      <c r="D35" s="1275"/>
      <c r="E35" s="1275"/>
      <c r="F35" s="1275"/>
      <c r="G35" s="1275"/>
      <c r="H35" s="1275"/>
      <c r="I35" s="1275"/>
      <c r="J35" s="1275"/>
      <c r="K35" s="1275"/>
      <c r="L35" s="1275"/>
      <c r="M35" s="1275"/>
      <c r="N35" s="1275"/>
      <c r="O35" s="1275"/>
      <c r="P35" s="1275"/>
      <c r="Q35" s="1275"/>
      <c r="R35" s="1275"/>
      <c r="S35" s="1275"/>
      <c r="T35" s="1275"/>
      <c r="U35" s="1275"/>
      <c r="V35" s="1275"/>
      <c r="W35" s="1271"/>
      <c r="X35" s="1271"/>
      <c r="Y35" s="1271"/>
      <c r="Z35" s="1271"/>
      <c r="AA35" s="1271"/>
      <c r="AB35" s="1276"/>
    </row>
    <row r="36" spans="1:28" ht="15.05">
      <c r="A36" s="1275"/>
      <c r="B36" s="1275"/>
      <c r="C36" s="1275"/>
      <c r="D36" s="1275"/>
      <c r="E36" s="1275"/>
      <c r="F36" s="1275"/>
      <c r="G36" s="1275"/>
      <c r="H36" s="1275"/>
      <c r="I36" s="1275"/>
      <c r="J36" s="1275"/>
      <c r="K36" s="1275"/>
      <c r="L36" s="1275"/>
      <c r="M36" s="1275"/>
      <c r="N36" s="1275"/>
      <c r="O36" s="1275"/>
      <c r="P36" s="1275"/>
      <c r="Q36" s="1275"/>
      <c r="R36" s="1275"/>
      <c r="S36" s="1275"/>
      <c r="T36" s="1275"/>
      <c r="U36" s="1275"/>
      <c r="V36" s="1275"/>
      <c r="W36" s="1271"/>
      <c r="X36" s="1271"/>
      <c r="Y36" s="1271"/>
      <c r="Z36" s="1271"/>
      <c r="AA36" s="1271"/>
      <c r="AB36" s="1276"/>
    </row>
    <row r="37" spans="1:28" ht="15.05">
      <c r="A37" s="1275"/>
      <c r="B37" s="1275"/>
      <c r="C37" s="1275"/>
      <c r="D37" s="1275"/>
      <c r="E37" s="1275"/>
      <c r="F37" s="1275"/>
      <c r="G37" s="1275"/>
      <c r="H37" s="1275"/>
      <c r="I37" s="1275"/>
      <c r="J37" s="1275"/>
      <c r="K37" s="1275"/>
      <c r="L37" s="1275"/>
      <c r="M37" s="1275"/>
      <c r="N37" s="1275"/>
      <c r="O37" s="1275"/>
      <c r="P37" s="1275"/>
      <c r="Q37" s="1275"/>
      <c r="R37" s="1275"/>
      <c r="S37" s="1275"/>
      <c r="T37" s="1275"/>
      <c r="U37" s="1275"/>
      <c r="V37" s="1275"/>
      <c r="W37" s="1271"/>
      <c r="X37" s="1271"/>
      <c r="Y37" s="1271"/>
      <c r="Z37" s="1271"/>
      <c r="AA37" s="1271"/>
      <c r="AB37" s="1276"/>
    </row>
    <row r="38" spans="1:28" ht="15.05">
      <c r="A38" s="1275"/>
      <c r="B38" s="1275"/>
      <c r="C38" s="1275"/>
      <c r="D38" s="1275"/>
      <c r="E38" s="1275"/>
      <c r="F38" s="1275"/>
      <c r="G38" s="1275"/>
      <c r="H38" s="1275"/>
      <c r="I38" s="1275"/>
      <c r="J38" s="1275"/>
      <c r="K38" s="1275"/>
      <c r="L38" s="1275"/>
      <c r="M38" s="1275"/>
      <c r="N38" s="1275"/>
      <c r="O38" s="1275"/>
      <c r="P38" s="1275"/>
      <c r="Q38" s="1275"/>
      <c r="R38" s="1275"/>
      <c r="S38" s="1275"/>
      <c r="T38" s="1275"/>
      <c r="U38" s="1275"/>
      <c r="V38" s="1275"/>
      <c r="W38" s="1271"/>
      <c r="X38" s="1271"/>
      <c r="Y38" s="1271"/>
      <c r="Z38" s="1271"/>
      <c r="AA38" s="1271"/>
      <c r="AB38" s="1276"/>
    </row>
    <row r="39" spans="1:28" ht="15.05">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1"/>
      <c r="X39" s="1276"/>
      <c r="Y39" s="1276"/>
      <c r="Z39" s="1276"/>
      <c r="AA39" s="1271"/>
      <c r="AB39" s="1276"/>
    </row>
    <row r="40" spans="1:28" ht="15.05">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1"/>
      <c r="X40" s="1276"/>
      <c r="Y40" s="1276"/>
      <c r="Z40" s="1276"/>
      <c r="AA40" s="1271"/>
      <c r="AB40" s="1276"/>
    </row>
    <row r="41" spans="1:28" ht="15.05">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1"/>
      <c r="X41" s="1276"/>
      <c r="Y41" s="1276"/>
      <c r="Z41" s="1276"/>
      <c r="AA41" s="1271"/>
      <c r="AB41" s="1276"/>
    </row>
    <row r="42" spans="1:28" ht="15.05">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1"/>
      <c r="X42" s="1276"/>
      <c r="Y42" s="1276"/>
      <c r="Z42" s="1276"/>
      <c r="AA42" s="1276"/>
      <c r="AB42" s="1276"/>
    </row>
    <row r="43" spans="1:28" ht="15.05">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1"/>
      <c r="X43" s="1276"/>
      <c r="Y43" s="1276"/>
      <c r="Z43" s="1276"/>
      <c r="AA43" s="1276"/>
      <c r="AB43" s="1276"/>
    </row>
    <row r="44" spans="1:28" ht="15.05">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1"/>
      <c r="X44" s="1276"/>
      <c r="Y44" s="1276"/>
      <c r="Z44" s="1276"/>
      <c r="AA44" s="1276"/>
      <c r="AB44" s="1276"/>
    </row>
    <row r="45" spans="1:28" ht="15.05">
      <c r="A45" s="1275"/>
      <c r="B45" s="1275"/>
      <c r="C45" s="1275"/>
      <c r="D45" s="1275"/>
      <c r="E45" s="1275"/>
      <c r="F45" s="1275"/>
      <c r="G45" s="1275"/>
      <c r="H45" s="1275"/>
      <c r="I45" s="1275"/>
      <c r="J45" s="1275"/>
      <c r="K45" s="1275"/>
      <c r="L45" s="1275"/>
      <c r="M45" s="1275"/>
      <c r="N45" s="1275"/>
      <c r="O45" s="1275"/>
      <c r="P45" s="1275"/>
      <c r="Q45" s="1275"/>
      <c r="R45" s="1275"/>
      <c r="S45" s="1275"/>
      <c r="T45" s="1275"/>
      <c r="U45" s="1275"/>
      <c r="V45" s="1275"/>
      <c r="W45" s="1271"/>
      <c r="X45" s="1276"/>
      <c r="Y45" s="1276"/>
      <c r="Z45" s="1276"/>
      <c r="AA45" s="1276"/>
      <c r="AB45" s="1276"/>
    </row>
    <row r="46" spans="1:28" ht="15.05">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1"/>
      <c r="X46" s="1276"/>
      <c r="Y46" s="1276"/>
      <c r="Z46" s="1276"/>
      <c r="AA46" s="1276"/>
      <c r="AB46" s="1276"/>
    </row>
    <row r="47" spans="1:28">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6"/>
      <c r="X47" s="1276"/>
      <c r="Y47" s="1276"/>
      <c r="Z47" s="1276"/>
      <c r="AA47" s="1276"/>
      <c r="AB47" s="1276"/>
    </row>
    <row r="48" spans="1:28">
      <c r="A48" s="1275"/>
      <c r="B48" s="1275"/>
      <c r="C48" s="1275"/>
      <c r="D48" s="1275"/>
      <c r="E48" s="1275"/>
      <c r="F48" s="1275"/>
      <c r="G48" s="1275"/>
      <c r="H48" s="1275"/>
      <c r="I48" s="1275"/>
      <c r="J48" s="1275"/>
      <c r="K48" s="1275"/>
      <c r="L48" s="1275"/>
      <c r="M48" s="1275"/>
      <c r="N48" s="1275"/>
      <c r="O48" s="1275"/>
      <c r="P48" s="1275"/>
      <c r="Q48" s="1275"/>
      <c r="R48" s="1275"/>
      <c r="S48" s="1275"/>
      <c r="T48" s="1275"/>
      <c r="U48" s="1275"/>
      <c r="V48" s="1275"/>
      <c r="W48" s="1276"/>
      <c r="X48" s="1276"/>
      <c r="Y48" s="1276"/>
      <c r="Z48" s="1276"/>
      <c r="AA48" s="1276"/>
      <c r="AB48" s="1276"/>
    </row>
    <row r="49" spans="1:28">
      <c r="A49" s="1275"/>
      <c r="B49" s="1275"/>
      <c r="C49" s="1275"/>
      <c r="D49" s="1275"/>
      <c r="E49" s="1275"/>
      <c r="F49" s="1275"/>
      <c r="G49" s="1275"/>
      <c r="H49" s="1275"/>
      <c r="I49" s="1275"/>
      <c r="J49" s="1275"/>
      <c r="K49" s="1275"/>
      <c r="L49" s="1275"/>
      <c r="M49" s="1275"/>
      <c r="N49" s="1275"/>
      <c r="O49" s="1275"/>
      <c r="P49" s="1275"/>
      <c r="Q49" s="1275"/>
      <c r="R49" s="1275"/>
      <c r="S49" s="1275"/>
      <c r="T49" s="1275"/>
      <c r="U49" s="1275"/>
      <c r="V49" s="1275"/>
      <c r="W49" s="1276"/>
      <c r="X49" s="1276"/>
      <c r="Y49" s="1276"/>
      <c r="Z49" s="1276"/>
      <c r="AA49" s="1276"/>
      <c r="AB49" s="1276"/>
    </row>
    <row r="50" spans="1:28">
      <c r="A50" s="1275"/>
      <c r="B50" s="1275"/>
      <c r="C50" s="1275"/>
      <c r="D50" s="1275"/>
      <c r="E50" s="1275"/>
      <c r="F50" s="1275"/>
      <c r="G50" s="1275"/>
      <c r="H50" s="1275"/>
      <c r="I50" s="1275"/>
      <c r="J50" s="1275"/>
      <c r="K50" s="1275"/>
      <c r="L50" s="1275"/>
      <c r="M50" s="1275"/>
      <c r="N50" s="1275"/>
      <c r="O50" s="1275"/>
      <c r="P50" s="1275"/>
      <c r="Q50" s="1275"/>
      <c r="R50" s="1275"/>
      <c r="S50" s="1275"/>
      <c r="T50" s="1275"/>
      <c r="U50" s="1275"/>
      <c r="V50" s="1275"/>
      <c r="W50" s="1276"/>
      <c r="X50" s="1276"/>
      <c r="Y50" s="1276"/>
      <c r="Z50" s="1276"/>
      <c r="AA50" s="1276"/>
      <c r="AB50" s="1276"/>
    </row>
    <row r="51" spans="1:28">
      <c r="A51" s="1275"/>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6"/>
      <c r="X51" s="1276"/>
      <c r="Y51" s="1276"/>
      <c r="Z51" s="1276"/>
      <c r="AA51" s="1276"/>
      <c r="AB51" s="1276"/>
    </row>
    <row r="52" spans="1:28">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6"/>
      <c r="X52" s="1276"/>
      <c r="Y52" s="1276"/>
      <c r="Z52" s="1276"/>
      <c r="AA52" s="1276"/>
      <c r="AB52" s="1276"/>
    </row>
    <row r="53" spans="1:28">
      <c r="A53" s="1275"/>
      <c r="B53" s="1275"/>
      <c r="C53" s="1275"/>
      <c r="D53" s="1275"/>
      <c r="E53" s="1275"/>
      <c r="F53" s="1275"/>
      <c r="G53" s="1275"/>
      <c r="H53" s="1275"/>
      <c r="I53" s="1275"/>
      <c r="J53" s="1275"/>
      <c r="K53" s="1275"/>
      <c r="L53" s="1275"/>
      <c r="M53" s="1275"/>
      <c r="N53" s="1275"/>
      <c r="O53" s="1275"/>
      <c r="P53" s="1275"/>
      <c r="Q53" s="1275"/>
      <c r="R53" s="1275"/>
      <c r="S53" s="1275"/>
      <c r="T53" s="1275"/>
      <c r="U53" s="1275"/>
      <c r="V53" s="1275"/>
      <c r="W53" s="1276"/>
      <c r="X53" s="1276"/>
      <c r="Y53" s="1276"/>
      <c r="Z53" s="1276"/>
      <c r="AA53" s="1276"/>
      <c r="AB53" s="1276"/>
    </row>
    <row r="54" spans="1:28">
      <c r="A54" s="1275"/>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6"/>
      <c r="X54" s="1276"/>
      <c r="Y54" s="1276"/>
      <c r="Z54" s="1276"/>
      <c r="AA54" s="1276"/>
      <c r="AB54" s="1276"/>
    </row>
    <row r="55" spans="1:28">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6"/>
      <c r="X55" s="1276"/>
      <c r="Y55" s="1276"/>
      <c r="Z55" s="1276"/>
      <c r="AA55" s="1276"/>
      <c r="AB55" s="1276"/>
    </row>
    <row r="56" spans="1:28">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6"/>
      <c r="X56" s="1276"/>
      <c r="Y56" s="1276"/>
      <c r="Z56" s="1276"/>
      <c r="AA56" s="1276"/>
      <c r="AB56" s="1276"/>
    </row>
    <row r="57" spans="1:28">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6"/>
      <c r="X57" s="1276"/>
      <c r="Y57" s="1276"/>
      <c r="Z57" s="1276"/>
      <c r="AA57" s="1276"/>
      <c r="AB57" s="1276"/>
    </row>
    <row r="58" spans="1:28">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6"/>
      <c r="X58" s="1276"/>
      <c r="Y58" s="1276"/>
      <c r="Z58" s="1276"/>
      <c r="AA58" s="1276"/>
      <c r="AB58" s="1276"/>
    </row>
    <row r="59" spans="1:28">
      <c r="A59" s="1275"/>
      <c r="B59" s="1275"/>
      <c r="C59" s="1275"/>
      <c r="D59" s="1275"/>
      <c r="E59" s="1275"/>
      <c r="F59" s="1275"/>
      <c r="G59" s="1275"/>
      <c r="H59" s="1275"/>
      <c r="I59" s="1275"/>
      <c r="J59" s="1275"/>
      <c r="K59" s="1275"/>
      <c r="L59" s="1275"/>
      <c r="M59" s="1275"/>
      <c r="N59" s="1275"/>
      <c r="O59" s="1275"/>
      <c r="P59" s="1275"/>
      <c r="Q59" s="1275"/>
      <c r="R59" s="1275"/>
      <c r="S59" s="1275"/>
      <c r="T59" s="1275"/>
      <c r="U59" s="1275"/>
      <c r="V59" s="1275"/>
      <c r="W59" s="1276"/>
      <c r="X59" s="1276"/>
      <c r="Y59" s="1276"/>
      <c r="Z59" s="1276"/>
      <c r="AA59" s="1276"/>
      <c r="AB59" s="1276"/>
    </row>
    <row r="60" spans="1:28">
      <c r="A60" s="1275"/>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6"/>
      <c r="X60" s="1276"/>
      <c r="Y60" s="1276"/>
      <c r="Z60" s="1276"/>
      <c r="AA60" s="1276"/>
      <c r="AB60" s="1276"/>
    </row>
    <row r="61" spans="1:28">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6"/>
      <c r="X61" s="1276"/>
      <c r="Y61" s="1276"/>
      <c r="Z61" s="1276"/>
      <c r="AA61" s="1276"/>
      <c r="AB61" s="1276"/>
    </row>
    <row r="62" spans="1:28">
      <c r="A62" s="1275"/>
      <c r="B62" s="1275"/>
      <c r="C62" s="1275"/>
      <c r="D62" s="1275"/>
      <c r="E62" s="1275"/>
      <c r="F62" s="1275"/>
      <c r="G62" s="1275"/>
      <c r="H62" s="1275"/>
      <c r="I62" s="1275"/>
      <c r="J62" s="1275"/>
      <c r="K62" s="1275"/>
      <c r="L62" s="1275"/>
      <c r="M62" s="1275"/>
      <c r="N62" s="1275"/>
      <c r="O62" s="1275"/>
      <c r="P62" s="1275"/>
      <c r="Q62" s="1275"/>
      <c r="R62" s="1275"/>
      <c r="S62" s="1275"/>
      <c r="T62" s="1275"/>
      <c r="U62" s="1275"/>
      <c r="V62" s="1275"/>
      <c r="W62" s="1276"/>
      <c r="X62" s="1276"/>
      <c r="Y62" s="1276"/>
      <c r="Z62" s="1276"/>
      <c r="AA62" s="1276"/>
      <c r="AB62" s="1276"/>
    </row>
    <row r="63" spans="1:28">
      <c r="A63" s="1275"/>
      <c r="B63" s="1275"/>
      <c r="C63" s="1275"/>
      <c r="D63" s="1275"/>
      <c r="E63" s="1275"/>
      <c r="F63" s="1275"/>
      <c r="G63" s="1275"/>
      <c r="H63" s="1275"/>
      <c r="I63" s="1275"/>
      <c r="J63" s="1275"/>
      <c r="K63" s="1275"/>
      <c r="L63" s="1275"/>
      <c r="M63" s="1275"/>
      <c r="N63" s="1275"/>
      <c r="O63" s="1275"/>
      <c r="P63" s="1275"/>
      <c r="Q63" s="1275"/>
      <c r="R63" s="1275"/>
      <c r="S63" s="1275"/>
      <c r="T63" s="1275"/>
      <c r="U63" s="1275"/>
      <c r="V63" s="1275"/>
      <c r="W63" s="1276"/>
      <c r="X63" s="1276"/>
      <c r="Y63" s="1276"/>
      <c r="Z63" s="1276"/>
      <c r="AA63" s="1276"/>
      <c r="AB63" s="1276"/>
    </row>
    <row r="64" spans="1:28">
      <c r="A64" s="1275"/>
      <c r="B64" s="1275"/>
      <c r="C64" s="1275"/>
      <c r="D64" s="1275"/>
      <c r="E64" s="1275"/>
      <c r="F64" s="1275"/>
      <c r="G64" s="1275"/>
      <c r="H64" s="1275"/>
      <c r="I64" s="1275"/>
      <c r="J64" s="1275"/>
      <c r="K64" s="1275"/>
      <c r="L64" s="1275"/>
      <c r="M64" s="1275"/>
      <c r="N64" s="1275"/>
      <c r="O64" s="1275"/>
      <c r="P64" s="1275"/>
      <c r="Q64" s="1275"/>
      <c r="R64" s="1275"/>
      <c r="S64" s="1275"/>
      <c r="T64" s="1275"/>
      <c r="U64" s="1275"/>
      <c r="V64" s="1275"/>
      <c r="W64" s="1276"/>
      <c r="X64" s="1276"/>
      <c r="Y64" s="1276"/>
      <c r="Z64" s="1276"/>
      <c r="AA64" s="1276"/>
      <c r="AB64" s="1276"/>
    </row>
    <row r="65" spans="1:28">
      <c r="A65" s="1275"/>
      <c r="B65" s="1275"/>
      <c r="C65" s="1275"/>
      <c r="D65" s="1275"/>
      <c r="E65" s="1275"/>
      <c r="F65" s="1275"/>
      <c r="G65" s="1275"/>
      <c r="H65" s="1275"/>
      <c r="I65" s="1275"/>
      <c r="J65" s="1275"/>
      <c r="K65" s="1275"/>
      <c r="L65" s="1275"/>
      <c r="M65" s="1275"/>
      <c r="N65" s="1275"/>
      <c r="O65" s="1275"/>
      <c r="P65" s="1275"/>
      <c r="Q65" s="1275"/>
      <c r="R65" s="1275"/>
      <c r="S65" s="1275"/>
      <c r="T65" s="1275"/>
      <c r="U65" s="1275"/>
      <c r="V65" s="1275"/>
      <c r="W65" s="1276"/>
      <c r="X65" s="1276"/>
      <c r="Y65" s="1276"/>
      <c r="Z65" s="1276"/>
      <c r="AA65" s="1276"/>
      <c r="AB65" s="1276"/>
    </row>
    <row r="66" spans="1:28">
      <c r="G66" s="1275"/>
    </row>
  </sheetData>
  <mergeCells count="33">
    <mergeCell ref="A2:B2"/>
    <mergeCell ref="D2:E2"/>
    <mergeCell ref="I2:J2"/>
    <mergeCell ref="L2:M2"/>
    <mergeCell ref="N2:O2"/>
    <mergeCell ref="A1:B1"/>
    <mergeCell ref="D1:E1"/>
    <mergeCell ref="I1:J1"/>
    <mergeCell ref="L1:M1"/>
    <mergeCell ref="N1:O1"/>
    <mergeCell ref="E17:F17"/>
    <mergeCell ref="I17:J17"/>
    <mergeCell ref="K17:O17"/>
    <mergeCell ref="I7:J7"/>
    <mergeCell ref="K7:O7"/>
    <mergeCell ref="I8:J8"/>
    <mergeCell ref="E9:F9"/>
    <mergeCell ref="I9:J9"/>
    <mergeCell ref="K9:O9"/>
    <mergeCell ref="K10:O10"/>
    <mergeCell ref="E13:F13"/>
    <mergeCell ref="I13:J13"/>
    <mergeCell ref="K13:O13"/>
    <mergeCell ref="K14:O14"/>
    <mergeCell ref="K26:O26"/>
    <mergeCell ref="K18:O18"/>
    <mergeCell ref="E21:F21"/>
    <mergeCell ref="I21:J21"/>
    <mergeCell ref="K21:O21"/>
    <mergeCell ref="K22:O22"/>
    <mergeCell ref="E25:F25"/>
    <mergeCell ref="I25:J25"/>
    <mergeCell ref="K25:O2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49995422223578601"/>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516</v>
      </c>
      <c r="B1" s="1564"/>
      <c r="C1" s="1564"/>
      <c r="D1" s="1565"/>
      <c r="E1" s="1018" t="s">
        <v>42</v>
      </c>
      <c r="F1" s="1566" t="s">
        <v>517</v>
      </c>
      <c r="G1" s="1567"/>
      <c r="H1" s="1568"/>
      <c r="I1" s="1018" t="s">
        <v>44</v>
      </c>
      <c r="J1" s="1859" t="s">
        <v>518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21199</v>
      </c>
      <c r="G3" s="1008">
        <v>64</v>
      </c>
      <c r="H3" s="1012" t="s">
        <v>411</v>
      </c>
      <c r="I3" s="1008">
        <v>67</v>
      </c>
      <c r="J3" s="1016">
        <f>I3-G3</f>
        <v>3</v>
      </c>
      <c r="K3" s="1033" t="s">
        <v>47</v>
      </c>
      <c r="L3" s="192"/>
      <c r="Q3" s="89"/>
    </row>
    <row r="4" spans="1:17" ht="17.7">
      <c r="C4" s="1173">
        <f ca="1">TODAY()</f>
        <v>46198</v>
      </c>
      <c r="E4" s="1065" t="s">
        <v>374</v>
      </c>
      <c r="F4" s="1007">
        <v>21833</v>
      </c>
      <c r="G4" s="1008">
        <v>62</v>
      </c>
      <c r="H4" s="1065" t="s">
        <v>373</v>
      </c>
      <c r="I4" s="1008">
        <v>67</v>
      </c>
      <c r="J4" s="971">
        <f>I4-G4</f>
        <v>5</v>
      </c>
      <c r="K4" s="1065" t="s">
        <v>47</v>
      </c>
    </row>
    <row r="5" spans="1:17" s="89" customFormat="1" ht="20.3">
      <c r="B5" s="208"/>
      <c r="C5" s="970">
        <v>2020</v>
      </c>
      <c r="D5" s="192"/>
      <c r="E5" s="925"/>
      <c r="F5" s="925"/>
      <c r="G5" s="192"/>
      <c r="H5" s="192"/>
      <c r="I5" s="969"/>
      <c r="J5" s="192"/>
      <c r="K5" s="192"/>
      <c r="L5" s="969"/>
      <c r="M5" s="371"/>
      <c r="N5" s="192"/>
    </row>
    <row r="6" spans="1:17" s="89" customFormat="1" ht="17.7">
      <c r="A6" s="1788" t="s">
        <v>375</v>
      </c>
      <c r="B6" s="1789"/>
      <c r="C6" s="1790"/>
      <c r="D6" s="1009">
        <v>5416.67</v>
      </c>
      <c r="E6" s="1791" t="s">
        <v>376</v>
      </c>
      <c r="F6" s="1741"/>
      <c r="G6" s="968" t="s">
        <v>377</v>
      </c>
      <c r="H6" s="968" t="s">
        <v>377</v>
      </c>
      <c r="J6" s="968" t="s">
        <v>377</v>
      </c>
      <c r="K6" s="974"/>
      <c r="N6" s="16"/>
      <c r="O6" s="16"/>
    </row>
    <row r="7" spans="1:17" s="89" customFormat="1" ht="17.7">
      <c r="A7" s="1854" t="s">
        <v>378</v>
      </c>
      <c r="B7" s="1855"/>
      <c r="C7" s="1856"/>
      <c r="D7" s="1009">
        <v>0</v>
      </c>
      <c r="E7" s="1857" t="s">
        <v>379</v>
      </c>
      <c r="F7" s="1858"/>
      <c r="G7" s="968" t="s">
        <v>519</v>
      </c>
      <c r="H7" s="968" t="s">
        <v>519</v>
      </c>
      <c r="I7" s="1015">
        <f>D6+D7</f>
        <v>5416.67</v>
      </c>
      <c r="J7" s="968" t="s">
        <v>380</v>
      </c>
      <c r="K7" s="972">
        <f>I7*12</f>
        <v>65000.04</v>
      </c>
      <c r="O7" s="16"/>
    </row>
    <row r="10" spans="1:17" ht="17.7">
      <c r="A10" s="1524" t="s">
        <v>50</v>
      </c>
      <c r="B10" s="1524"/>
      <c r="C10" s="1524"/>
      <c r="D10" s="1524"/>
      <c r="E10" s="1010">
        <v>5833</v>
      </c>
      <c r="F10" s="966">
        <f>E10*12</f>
        <v>69996</v>
      </c>
      <c r="G10" s="192"/>
      <c r="H10" s="192"/>
      <c r="I10" s="973">
        <f>F10*1.25</f>
        <v>87495</v>
      </c>
      <c r="J10" s="1734" t="s">
        <v>520</v>
      </c>
      <c r="K10" s="1734"/>
      <c r="L10" s="1734"/>
      <c r="M10" s="1734"/>
      <c r="N10" s="1734"/>
      <c r="O10" s="16"/>
    </row>
    <row r="11" spans="1:17" s="89" customFormat="1" ht="20.3">
      <c r="B11" s="208"/>
      <c r="C11" s="970"/>
      <c r="D11" s="192"/>
      <c r="E11" s="925"/>
      <c r="F11" s="925"/>
      <c r="G11" s="192"/>
      <c r="H11" s="192"/>
      <c r="I11" s="969"/>
      <c r="J11" s="192"/>
      <c r="K11" s="192"/>
      <c r="L11" s="969"/>
      <c r="M11" s="371"/>
      <c r="N11" s="192"/>
    </row>
    <row r="12" spans="1:17" ht="18" customHeight="1">
      <c r="A12" s="1742" t="s">
        <v>383</v>
      </c>
      <c r="B12" s="1743"/>
      <c r="C12" s="1744"/>
      <c r="D12" s="1010">
        <v>2746</v>
      </c>
      <c r="E12" s="1013" t="s">
        <v>12</v>
      </c>
      <c r="F12" s="1011">
        <v>67</v>
      </c>
      <c r="G12" s="1745" t="s">
        <v>54</v>
      </c>
      <c r="H12" s="1746"/>
      <c r="I12" s="1021">
        <f>D12*12</f>
        <v>32952</v>
      </c>
      <c r="J12" s="1553" t="s">
        <v>55</v>
      </c>
      <c r="K12" s="1553"/>
      <c r="L12" s="1553"/>
      <c r="M12" s="1553"/>
      <c r="N12" s="1553"/>
      <c r="O12" s="1553"/>
    </row>
    <row r="13" spans="1:17" ht="17.7">
      <c r="A13" s="1866" t="s">
        <v>521</v>
      </c>
      <c r="B13" s="1867"/>
      <c r="C13" s="1868"/>
      <c r="D13" s="1010">
        <v>1373</v>
      </c>
      <c r="E13" s="1066" t="s">
        <v>12</v>
      </c>
      <c r="F13" s="1011">
        <v>67</v>
      </c>
      <c r="G13" s="1869" t="s">
        <v>54</v>
      </c>
      <c r="H13" s="1870"/>
      <c r="I13" s="973">
        <f>D13*12</f>
        <v>16476</v>
      </c>
      <c r="J13" s="1552" t="s">
        <v>522</v>
      </c>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871" t="s">
        <v>523</v>
      </c>
      <c r="B15" s="1871"/>
      <c r="C15" s="1871"/>
      <c r="D15" s="1871"/>
      <c r="E15" s="1871"/>
      <c r="F15" s="1871"/>
      <c r="G15" s="1871"/>
      <c r="H15" s="1871"/>
      <c r="I15" s="1871"/>
      <c r="J15" s="1871"/>
      <c r="K15" s="1871"/>
      <c r="L15" s="1871"/>
      <c r="M15" s="1871"/>
      <c r="N15" s="1871"/>
      <c r="O15" s="1872"/>
    </row>
    <row r="16" spans="1:17" ht="23.6">
      <c r="A16" s="1543" t="s">
        <v>57</v>
      </c>
      <c r="B16" s="1544"/>
      <c r="C16" s="1544"/>
      <c r="D16" s="1544"/>
      <c r="E16" s="1544"/>
      <c r="F16" s="1544"/>
      <c r="G16" s="1544"/>
      <c r="H16" s="1544"/>
      <c r="I16" s="1544"/>
      <c r="J16" s="1544"/>
      <c r="K16" s="1544"/>
      <c r="L16" s="1544"/>
      <c r="M16" s="1544"/>
      <c r="N16" s="1544"/>
      <c r="O16" s="1545"/>
      <c r="P16" s="89"/>
    </row>
    <row r="17" spans="1:23" s="37" customFormat="1" ht="100" customHeight="1">
      <c r="A17" s="1110"/>
      <c r="B17" s="1110"/>
      <c r="C17" s="1110"/>
      <c r="D17" s="1027" t="s">
        <v>413</v>
      </c>
      <c r="E17" s="1046" t="s">
        <v>524</v>
      </c>
      <c r="F17" s="36"/>
      <c r="G17" s="1186" t="s">
        <v>525</v>
      </c>
      <c r="H17" s="1186" t="s">
        <v>526</v>
      </c>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149"/>
      <c r="G19" s="1187">
        <v>1</v>
      </c>
      <c r="H19" s="1187">
        <v>1</v>
      </c>
      <c r="I19" s="1154"/>
      <c r="J19" s="1154"/>
      <c r="K19" s="1154"/>
      <c r="L19" s="1154"/>
      <c r="M19" s="992"/>
      <c r="N19" s="992"/>
      <c r="O19" s="993"/>
    </row>
    <row r="20" spans="1:23">
      <c r="A20" s="1860"/>
      <c r="B20" s="1860"/>
      <c r="C20" s="1861"/>
      <c r="D20" s="976">
        <f>F12</f>
        <v>67</v>
      </c>
      <c r="E20" s="976">
        <f>F13</f>
        <v>67</v>
      </c>
      <c r="F20" s="1105"/>
      <c r="G20" s="1188">
        <v>67</v>
      </c>
      <c r="H20" s="1188">
        <v>67</v>
      </c>
      <c r="I20" s="1105"/>
      <c r="J20" s="1105"/>
      <c r="K20" s="1105"/>
      <c r="L20" s="1105"/>
      <c r="M20" s="990"/>
      <c r="N20" s="989"/>
      <c r="O20" s="994"/>
    </row>
    <row r="21" spans="1:23" ht="16.05" customHeight="1">
      <c r="A21" s="1749" t="s">
        <v>26</v>
      </c>
      <c r="B21" s="1813" t="s">
        <v>390</v>
      </c>
      <c r="C21" s="1862" t="s">
        <v>58</v>
      </c>
      <c r="D21" s="975">
        <f>I12</f>
        <v>32952</v>
      </c>
      <c r="E21" s="975">
        <f>I13</f>
        <v>16476</v>
      </c>
      <c r="F21" s="975"/>
      <c r="G21" s="1189">
        <v>433825</v>
      </c>
      <c r="H21" s="1189">
        <v>137093</v>
      </c>
      <c r="I21" s="975"/>
      <c r="J21" s="975"/>
      <c r="K21" s="975"/>
      <c r="L21" s="975"/>
      <c r="M21" s="990"/>
      <c r="N21" s="989"/>
      <c r="O21" s="994"/>
    </row>
    <row r="22" spans="1:23" ht="16.05" customHeight="1">
      <c r="A22" s="1750"/>
      <c r="B22" s="1814"/>
      <c r="C22" s="1863"/>
      <c r="D22" s="1864"/>
      <c r="E22" s="1864"/>
      <c r="F22" s="1864"/>
      <c r="G22" s="1864"/>
      <c r="H22" s="1864"/>
      <c r="I22" s="1864"/>
      <c r="J22" s="1864"/>
      <c r="K22" s="1864"/>
      <c r="L22" s="1865"/>
      <c r="M22" s="991"/>
      <c r="N22" s="208"/>
      <c r="O22" s="995"/>
    </row>
    <row r="23" spans="1:23" ht="14.4">
      <c r="A23" s="979" t="s">
        <v>527</v>
      </c>
      <c r="B23" s="1051">
        <f>G3</f>
        <v>64</v>
      </c>
      <c r="C23" s="1057">
        <f>G4</f>
        <v>62</v>
      </c>
      <c r="D23" s="982">
        <v>0</v>
      </c>
      <c r="E23" s="982">
        <v>0</v>
      </c>
      <c r="F23" s="982">
        <v>0</v>
      </c>
      <c r="G23" s="982">
        <v>0</v>
      </c>
      <c r="H23" s="982">
        <v>0</v>
      </c>
      <c r="I23" s="982">
        <v>0</v>
      </c>
      <c r="J23" s="982">
        <v>0</v>
      </c>
      <c r="K23" s="982">
        <v>0</v>
      </c>
      <c r="L23" s="982">
        <v>0</v>
      </c>
      <c r="M23" s="980">
        <f>D23+E23+F23+G23+H23+I23+J23+K23+L23</f>
        <v>0</v>
      </c>
      <c r="N23" s="967">
        <f>I10</f>
        <v>87495</v>
      </c>
      <c r="O23" s="977">
        <f>M23-N24</f>
        <v>-87495</v>
      </c>
    </row>
    <row r="24" spans="1:23" ht="14.4">
      <c r="A24" s="119">
        <f t="shared" ref="A24:C39" si="0">A23+1</f>
        <v>2023</v>
      </c>
      <c r="B24" s="1052">
        <f t="shared" si="0"/>
        <v>65</v>
      </c>
      <c r="C24" s="1058">
        <f t="shared" si="0"/>
        <v>63</v>
      </c>
      <c r="D24" s="982">
        <v>0</v>
      </c>
      <c r="E24" s="982">
        <v>0</v>
      </c>
      <c r="F24" s="982">
        <v>0</v>
      </c>
      <c r="G24" s="982">
        <v>0</v>
      </c>
      <c r="H24" s="982">
        <v>0</v>
      </c>
      <c r="I24" s="982">
        <v>0</v>
      </c>
      <c r="J24" s="982">
        <v>0</v>
      </c>
      <c r="K24" s="982">
        <v>0</v>
      </c>
      <c r="L24" s="982">
        <v>0</v>
      </c>
      <c r="M24" s="980">
        <f t="shared" ref="M24:M40" si="1">D24+E24+F24+G24+H24+I24+J24+K24+L24</f>
        <v>0</v>
      </c>
      <c r="N24" s="967">
        <f>I10</f>
        <v>87495</v>
      </c>
      <c r="O24" s="977">
        <f t="shared" ref="O24:O51" si="2">M24-N25</f>
        <v>-87495</v>
      </c>
    </row>
    <row r="25" spans="1:23" ht="14.4">
      <c r="A25" s="155">
        <f t="shared" si="0"/>
        <v>2024</v>
      </c>
      <c r="B25" s="1053">
        <f t="shared" si="0"/>
        <v>66</v>
      </c>
      <c r="C25" s="1057">
        <f t="shared" si="0"/>
        <v>64</v>
      </c>
      <c r="D25" s="982">
        <v>0</v>
      </c>
      <c r="E25" s="982">
        <v>0</v>
      </c>
      <c r="F25" s="982">
        <v>0</v>
      </c>
      <c r="G25" s="982">
        <v>0</v>
      </c>
      <c r="H25" s="982">
        <v>0</v>
      </c>
      <c r="I25" s="982">
        <v>0</v>
      </c>
      <c r="J25" s="982">
        <v>0</v>
      </c>
      <c r="K25" s="982">
        <v>0</v>
      </c>
      <c r="L25" s="982">
        <v>0</v>
      </c>
      <c r="M25" s="980">
        <f t="shared" si="1"/>
        <v>0</v>
      </c>
      <c r="N25" s="967">
        <f>I10</f>
        <v>87495</v>
      </c>
      <c r="O25" s="977">
        <f t="shared" si="2"/>
        <v>-87495</v>
      </c>
    </row>
    <row r="26" spans="1:23" ht="14.4">
      <c r="A26" s="119">
        <f t="shared" si="0"/>
        <v>2025</v>
      </c>
      <c r="B26" s="1054">
        <f t="shared" si="0"/>
        <v>67</v>
      </c>
      <c r="C26" s="1059">
        <f t="shared" si="0"/>
        <v>65</v>
      </c>
      <c r="D26" s="1026">
        <v>32952</v>
      </c>
      <c r="E26" s="982">
        <v>0</v>
      </c>
      <c r="F26" s="982">
        <v>0</v>
      </c>
      <c r="G26" s="719">
        <v>21474</v>
      </c>
      <c r="H26" s="719">
        <v>6786</v>
      </c>
      <c r="I26" s="982">
        <v>0</v>
      </c>
      <c r="J26" s="982">
        <v>0</v>
      </c>
      <c r="K26" s="982">
        <v>0</v>
      </c>
      <c r="L26" s="982">
        <v>0</v>
      </c>
      <c r="M26" s="980">
        <f t="shared" si="1"/>
        <v>61212</v>
      </c>
      <c r="N26" s="967">
        <f>I10</f>
        <v>87495</v>
      </c>
      <c r="O26" s="977">
        <f t="shared" si="2"/>
        <v>-26283</v>
      </c>
    </row>
    <row r="27" spans="1:23" ht="14.4">
      <c r="A27" s="119">
        <f t="shared" si="0"/>
        <v>2026</v>
      </c>
      <c r="B27" s="1053">
        <f t="shared" si="0"/>
        <v>68</v>
      </c>
      <c r="C27" s="1057">
        <f t="shared" si="0"/>
        <v>66</v>
      </c>
      <c r="D27" s="1026">
        <v>32952</v>
      </c>
      <c r="E27" s="982">
        <v>0</v>
      </c>
      <c r="F27" s="982">
        <v>0</v>
      </c>
      <c r="G27" s="719">
        <v>21474</v>
      </c>
      <c r="H27" s="719">
        <v>6786</v>
      </c>
      <c r="I27" s="982">
        <v>0</v>
      </c>
      <c r="J27" s="982">
        <v>0</v>
      </c>
      <c r="K27" s="982">
        <v>0</v>
      </c>
      <c r="L27" s="982">
        <v>0</v>
      </c>
      <c r="M27" s="980">
        <f t="shared" si="1"/>
        <v>61212</v>
      </c>
      <c r="N27" s="967">
        <f>I10</f>
        <v>87495</v>
      </c>
      <c r="O27" s="977">
        <f t="shared" si="2"/>
        <v>-26283</v>
      </c>
    </row>
    <row r="28" spans="1:23" ht="14.4">
      <c r="A28" s="119">
        <f t="shared" si="0"/>
        <v>2027</v>
      </c>
      <c r="B28" s="1052">
        <f t="shared" si="0"/>
        <v>69</v>
      </c>
      <c r="C28" s="1060">
        <f t="shared" si="0"/>
        <v>67</v>
      </c>
      <c r="D28" s="1026">
        <v>32952</v>
      </c>
      <c r="E28" s="1025">
        <v>16476</v>
      </c>
      <c r="F28" s="982">
        <v>0</v>
      </c>
      <c r="G28" s="719">
        <v>21474</v>
      </c>
      <c r="H28" s="719">
        <v>6786</v>
      </c>
      <c r="I28" s="982">
        <v>0</v>
      </c>
      <c r="J28" s="982">
        <v>0</v>
      </c>
      <c r="K28" s="982">
        <v>0</v>
      </c>
      <c r="L28" s="982">
        <v>0</v>
      </c>
      <c r="M28" s="980">
        <f t="shared" si="1"/>
        <v>77688</v>
      </c>
      <c r="N28" s="967">
        <f>I10</f>
        <v>87495</v>
      </c>
      <c r="O28" s="977">
        <f t="shared" si="2"/>
        <v>-9807</v>
      </c>
    </row>
    <row r="29" spans="1:23" ht="14.4">
      <c r="A29" s="155">
        <f t="shared" si="0"/>
        <v>2028</v>
      </c>
      <c r="B29" s="1053">
        <f t="shared" si="0"/>
        <v>70</v>
      </c>
      <c r="C29" s="1057">
        <f t="shared" si="0"/>
        <v>68</v>
      </c>
      <c r="D29" s="1026">
        <v>32952</v>
      </c>
      <c r="E29" s="1025">
        <v>16476</v>
      </c>
      <c r="F29" s="982">
        <v>0</v>
      </c>
      <c r="G29" s="719">
        <v>21474</v>
      </c>
      <c r="H29" s="719">
        <v>6786</v>
      </c>
      <c r="I29" s="982">
        <v>0</v>
      </c>
      <c r="J29" s="982">
        <v>0</v>
      </c>
      <c r="K29" s="982">
        <v>0</v>
      </c>
      <c r="L29" s="982">
        <v>0</v>
      </c>
      <c r="M29" s="980">
        <f t="shared" si="1"/>
        <v>77688</v>
      </c>
      <c r="N29" s="967">
        <f>I10</f>
        <v>87495</v>
      </c>
      <c r="O29" s="977">
        <f t="shared" si="2"/>
        <v>-9807</v>
      </c>
    </row>
    <row r="30" spans="1:23" ht="14.4">
      <c r="A30" s="119">
        <f t="shared" si="0"/>
        <v>2029</v>
      </c>
      <c r="B30" s="1054">
        <f t="shared" si="0"/>
        <v>71</v>
      </c>
      <c r="C30" s="1059">
        <f t="shared" si="0"/>
        <v>69</v>
      </c>
      <c r="D30" s="1026">
        <v>32952</v>
      </c>
      <c r="E30" s="1025">
        <v>16476</v>
      </c>
      <c r="F30" s="982">
        <v>0</v>
      </c>
      <c r="G30" s="719">
        <v>21474</v>
      </c>
      <c r="H30" s="719">
        <v>6786</v>
      </c>
      <c r="I30" s="982">
        <v>0</v>
      </c>
      <c r="J30" s="982">
        <v>0</v>
      </c>
      <c r="K30" s="982">
        <v>0</v>
      </c>
      <c r="L30" s="982">
        <v>0</v>
      </c>
      <c r="M30" s="980">
        <f t="shared" si="1"/>
        <v>77688</v>
      </c>
      <c r="N30" s="967">
        <f>I10</f>
        <v>87495</v>
      </c>
      <c r="O30" s="977">
        <f t="shared" si="2"/>
        <v>-9807</v>
      </c>
    </row>
    <row r="31" spans="1:23" ht="14.4">
      <c r="A31" s="119">
        <f t="shared" si="0"/>
        <v>2030</v>
      </c>
      <c r="B31" s="1053">
        <f t="shared" si="0"/>
        <v>72</v>
      </c>
      <c r="C31" s="1057">
        <f t="shared" si="0"/>
        <v>70</v>
      </c>
      <c r="D31" s="1026">
        <v>32952</v>
      </c>
      <c r="E31" s="1025">
        <v>16476</v>
      </c>
      <c r="F31" s="982">
        <v>0</v>
      </c>
      <c r="G31" s="719">
        <v>21474</v>
      </c>
      <c r="H31" s="719">
        <v>6786</v>
      </c>
      <c r="I31" s="982">
        <v>0</v>
      </c>
      <c r="J31" s="982">
        <v>0</v>
      </c>
      <c r="K31" s="982">
        <v>0</v>
      </c>
      <c r="L31" s="982">
        <v>0</v>
      </c>
      <c r="M31" s="980">
        <f t="shared" si="1"/>
        <v>77688</v>
      </c>
      <c r="N31" s="967">
        <f>I10</f>
        <v>87495</v>
      </c>
      <c r="O31" s="977">
        <f t="shared" si="2"/>
        <v>-9807</v>
      </c>
    </row>
    <row r="32" spans="1:23" ht="14.4">
      <c r="A32" s="119">
        <f t="shared" si="0"/>
        <v>2031</v>
      </c>
      <c r="B32" s="1053">
        <f t="shared" si="0"/>
        <v>73</v>
      </c>
      <c r="C32" s="1057">
        <f t="shared" si="0"/>
        <v>71</v>
      </c>
      <c r="D32" s="1026">
        <v>32952</v>
      </c>
      <c r="E32" s="1025">
        <v>16476</v>
      </c>
      <c r="F32" s="982">
        <v>0</v>
      </c>
      <c r="G32" s="719">
        <v>21474</v>
      </c>
      <c r="H32" s="719">
        <v>6786</v>
      </c>
      <c r="I32" s="982">
        <v>0</v>
      </c>
      <c r="J32" s="982">
        <v>0</v>
      </c>
      <c r="K32" s="982">
        <v>0</v>
      </c>
      <c r="L32" s="982">
        <v>0</v>
      </c>
      <c r="M32" s="980">
        <f t="shared" si="1"/>
        <v>77688</v>
      </c>
      <c r="N32" s="967">
        <f>I10</f>
        <v>87495</v>
      </c>
      <c r="O32" s="977">
        <f t="shared" si="2"/>
        <v>-9807</v>
      </c>
    </row>
    <row r="33" spans="1:15" ht="14.4">
      <c r="A33" s="119">
        <f t="shared" si="0"/>
        <v>2032</v>
      </c>
      <c r="B33" s="1053">
        <f t="shared" si="0"/>
        <v>74</v>
      </c>
      <c r="C33" s="1057">
        <f t="shared" si="0"/>
        <v>72</v>
      </c>
      <c r="D33" s="1026">
        <v>32952</v>
      </c>
      <c r="E33" s="1025">
        <v>16476</v>
      </c>
      <c r="F33" s="982">
        <v>0</v>
      </c>
      <c r="G33" s="719">
        <v>21474</v>
      </c>
      <c r="H33" s="719">
        <v>6786</v>
      </c>
      <c r="I33" s="982">
        <v>0</v>
      </c>
      <c r="J33" s="982">
        <v>0</v>
      </c>
      <c r="K33" s="982">
        <v>0</v>
      </c>
      <c r="L33" s="982">
        <v>0</v>
      </c>
      <c r="M33" s="980">
        <f t="shared" si="1"/>
        <v>77688</v>
      </c>
      <c r="N33" s="967">
        <f>I10</f>
        <v>87495</v>
      </c>
      <c r="O33" s="977">
        <f t="shared" si="2"/>
        <v>-9807</v>
      </c>
    </row>
    <row r="34" spans="1:15" ht="14.4">
      <c r="A34" s="119">
        <f t="shared" si="0"/>
        <v>2033</v>
      </c>
      <c r="B34" s="1053">
        <f t="shared" si="0"/>
        <v>75</v>
      </c>
      <c r="C34" s="1057">
        <f t="shared" si="0"/>
        <v>73</v>
      </c>
      <c r="D34" s="1026">
        <v>32952</v>
      </c>
      <c r="E34" s="1025">
        <v>16476</v>
      </c>
      <c r="F34" s="982">
        <v>0</v>
      </c>
      <c r="G34" s="719">
        <v>21474</v>
      </c>
      <c r="H34" s="719">
        <v>6786</v>
      </c>
      <c r="I34" s="982">
        <v>0</v>
      </c>
      <c r="J34" s="982">
        <v>0</v>
      </c>
      <c r="K34" s="982">
        <v>0</v>
      </c>
      <c r="L34" s="982">
        <v>0</v>
      </c>
      <c r="M34" s="980">
        <f t="shared" si="1"/>
        <v>77688</v>
      </c>
      <c r="N34" s="967">
        <f>I10</f>
        <v>87495</v>
      </c>
      <c r="O34" s="977">
        <f t="shared" si="2"/>
        <v>-9807</v>
      </c>
    </row>
    <row r="35" spans="1:15" ht="14.4">
      <c r="A35" s="119">
        <f t="shared" si="0"/>
        <v>2034</v>
      </c>
      <c r="B35" s="1053">
        <f t="shared" si="0"/>
        <v>76</v>
      </c>
      <c r="C35" s="1057">
        <f t="shared" si="0"/>
        <v>74</v>
      </c>
      <c r="D35" s="1026">
        <v>32952</v>
      </c>
      <c r="E35" s="1025">
        <v>16476</v>
      </c>
      <c r="F35" s="982">
        <v>0</v>
      </c>
      <c r="G35" s="719">
        <v>21474</v>
      </c>
      <c r="H35" s="719">
        <v>6786</v>
      </c>
      <c r="I35" s="982">
        <v>0</v>
      </c>
      <c r="J35" s="982">
        <v>0</v>
      </c>
      <c r="K35" s="982">
        <v>0</v>
      </c>
      <c r="L35" s="982">
        <v>0</v>
      </c>
      <c r="M35" s="980">
        <f t="shared" si="1"/>
        <v>77688</v>
      </c>
      <c r="N35" s="967">
        <f>I10</f>
        <v>87495</v>
      </c>
      <c r="O35" s="977">
        <f t="shared" si="2"/>
        <v>-9807</v>
      </c>
    </row>
    <row r="36" spans="1:15" ht="14.4">
      <c r="A36" s="119">
        <f t="shared" si="0"/>
        <v>2035</v>
      </c>
      <c r="B36" s="1053">
        <f t="shared" si="0"/>
        <v>77</v>
      </c>
      <c r="C36" s="1057">
        <f t="shared" si="0"/>
        <v>75</v>
      </c>
      <c r="D36" s="1026">
        <v>32952</v>
      </c>
      <c r="E36" s="1025">
        <v>16476</v>
      </c>
      <c r="F36" s="982">
        <v>0</v>
      </c>
      <c r="G36" s="719">
        <v>21474</v>
      </c>
      <c r="H36" s="719">
        <v>6786</v>
      </c>
      <c r="I36" s="982">
        <v>0</v>
      </c>
      <c r="J36" s="982">
        <v>0</v>
      </c>
      <c r="K36" s="982">
        <v>0</v>
      </c>
      <c r="L36" s="982">
        <v>0</v>
      </c>
      <c r="M36" s="980">
        <f t="shared" si="1"/>
        <v>77688</v>
      </c>
      <c r="N36" s="967">
        <f>I10</f>
        <v>87495</v>
      </c>
      <c r="O36" s="977">
        <f t="shared" si="2"/>
        <v>-9807</v>
      </c>
    </row>
    <row r="37" spans="1:15" ht="14.4">
      <c r="A37" s="119">
        <f t="shared" si="0"/>
        <v>2036</v>
      </c>
      <c r="B37" s="1053">
        <f t="shared" si="0"/>
        <v>78</v>
      </c>
      <c r="C37" s="1057">
        <f t="shared" si="0"/>
        <v>76</v>
      </c>
      <c r="D37" s="1026">
        <v>32952</v>
      </c>
      <c r="E37" s="1025">
        <v>16476</v>
      </c>
      <c r="F37" s="982">
        <v>0</v>
      </c>
      <c r="G37" s="719">
        <v>21474</v>
      </c>
      <c r="H37" s="719">
        <v>6786</v>
      </c>
      <c r="I37" s="982">
        <v>0</v>
      </c>
      <c r="J37" s="982">
        <v>0</v>
      </c>
      <c r="K37" s="982">
        <v>0</v>
      </c>
      <c r="L37" s="982">
        <v>0</v>
      </c>
      <c r="M37" s="980">
        <f t="shared" si="1"/>
        <v>77688</v>
      </c>
      <c r="N37" s="967">
        <f>I10</f>
        <v>87495</v>
      </c>
      <c r="O37" s="977">
        <f t="shared" si="2"/>
        <v>-9807</v>
      </c>
    </row>
    <row r="38" spans="1:15" ht="14.4">
      <c r="A38" s="155">
        <f t="shared" si="0"/>
        <v>2037</v>
      </c>
      <c r="B38" s="1053">
        <f t="shared" si="0"/>
        <v>79</v>
      </c>
      <c r="C38" s="1061">
        <f t="shared" si="0"/>
        <v>77</v>
      </c>
      <c r="D38" s="1026">
        <v>32952</v>
      </c>
      <c r="E38" s="1025">
        <v>16476</v>
      </c>
      <c r="F38" s="982">
        <v>0</v>
      </c>
      <c r="G38" s="719">
        <v>21474</v>
      </c>
      <c r="H38" s="719">
        <v>6786</v>
      </c>
      <c r="I38" s="982">
        <v>0</v>
      </c>
      <c r="J38" s="982">
        <v>0</v>
      </c>
      <c r="K38" s="982">
        <v>0</v>
      </c>
      <c r="L38" s="982">
        <v>0</v>
      </c>
      <c r="M38" s="980">
        <f t="shared" si="1"/>
        <v>77688</v>
      </c>
      <c r="N38" s="967">
        <f>I10</f>
        <v>87495</v>
      </c>
      <c r="O38" s="977">
        <f t="shared" si="2"/>
        <v>-9807</v>
      </c>
    </row>
    <row r="39" spans="1:15" ht="14.4">
      <c r="A39" s="119">
        <f t="shared" si="0"/>
        <v>2038</v>
      </c>
      <c r="B39" s="1054">
        <f t="shared" si="0"/>
        <v>80</v>
      </c>
      <c r="C39" s="1057">
        <f t="shared" si="0"/>
        <v>78</v>
      </c>
      <c r="D39" s="1026">
        <v>32952</v>
      </c>
      <c r="E39" s="1025">
        <v>16476</v>
      </c>
      <c r="F39" s="982">
        <v>0</v>
      </c>
      <c r="G39" s="719">
        <v>21474</v>
      </c>
      <c r="H39" s="719">
        <v>6786</v>
      </c>
      <c r="I39" s="982">
        <v>0</v>
      </c>
      <c r="J39" s="982">
        <v>0</v>
      </c>
      <c r="K39" s="982">
        <v>0</v>
      </c>
      <c r="L39" s="982">
        <v>0</v>
      </c>
      <c r="M39" s="980">
        <f t="shared" si="1"/>
        <v>77688</v>
      </c>
      <c r="N39" s="967">
        <f>I10</f>
        <v>87495</v>
      </c>
      <c r="O39" s="977">
        <f t="shared" si="2"/>
        <v>-9807</v>
      </c>
    </row>
    <row r="40" spans="1:15" ht="14.4">
      <c r="A40" s="119">
        <f t="shared" ref="A40:C52" si="3">A39+1</f>
        <v>2039</v>
      </c>
      <c r="B40" s="1053">
        <f t="shared" si="3"/>
        <v>81</v>
      </c>
      <c r="C40" s="1057">
        <f t="shared" si="3"/>
        <v>79</v>
      </c>
      <c r="D40" s="1026">
        <v>32952</v>
      </c>
      <c r="E40" s="1025">
        <v>16476</v>
      </c>
      <c r="F40" s="982">
        <v>0</v>
      </c>
      <c r="G40" s="719">
        <v>21474</v>
      </c>
      <c r="H40" s="719">
        <v>6786</v>
      </c>
      <c r="I40" s="982">
        <v>0</v>
      </c>
      <c r="J40" s="982">
        <v>0</v>
      </c>
      <c r="K40" s="982">
        <v>0</v>
      </c>
      <c r="L40" s="982">
        <v>0</v>
      </c>
      <c r="M40" s="980">
        <f t="shared" si="1"/>
        <v>77688</v>
      </c>
      <c r="N40" s="967">
        <f>I10</f>
        <v>87495</v>
      </c>
      <c r="O40" s="977">
        <f>M40-N41</f>
        <v>-9807</v>
      </c>
    </row>
    <row r="41" spans="1:15" ht="14.4">
      <c r="A41" s="119">
        <f>A40+1</f>
        <v>2040</v>
      </c>
      <c r="B41" s="1053">
        <f>B40+1</f>
        <v>82</v>
      </c>
      <c r="C41" s="1057">
        <f>C40+1</f>
        <v>80</v>
      </c>
      <c r="D41" s="1026">
        <v>32952</v>
      </c>
      <c r="E41" s="1025">
        <v>16476</v>
      </c>
      <c r="F41" s="982">
        <v>0</v>
      </c>
      <c r="G41" s="719">
        <v>21474</v>
      </c>
      <c r="H41" s="719">
        <v>6786</v>
      </c>
      <c r="I41" s="982">
        <v>0</v>
      </c>
      <c r="J41" s="982">
        <v>0</v>
      </c>
      <c r="K41" s="982">
        <v>0</v>
      </c>
      <c r="L41" s="982">
        <v>0</v>
      </c>
      <c r="M41" s="981">
        <f t="shared" ref="M41:M57" si="4">SUM(D41+E41+F41+G41+H41+I41+J41+L41)</f>
        <v>77688</v>
      </c>
      <c r="N41" s="967">
        <f>I10</f>
        <v>87495</v>
      </c>
      <c r="O41" s="977">
        <f t="shared" si="2"/>
        <v>-9807</v>
      </c>
    </row>
    <row r="42" spans="1:15" ht="14.4">
      <c r="A42" s="119">
        <f t="shared" si="3"/>
        <v>2041</v>
      </c>
      <c r="B42" s="1053">
        <f t="shared" si="3"/>
        <v>83</v>
      </c>
      <c r="C42" s="1057">
        <f t="shared" si="3"/>
        <v>81</v>
      </c>
      <c r="D42" s="1026">
        <v>32952</v>
      </c>
      <c r="E42" s="1025">
        <v>16476</v>
      </c>
      <c r="F42" s="982">
        <v>0</v>
      </c>
      <c r="G42" s="719">
        <v>21474</v>
      </c>
      <c r="H42" s="719">
        <v>6786</v>
      </c>
      <c r="I42" s="982">
        <v>0</v>
      </c>
      <c r="J42" s="982">
        <v>0</v>
      </c>
      <c r="K42" s="982">
        <v>0</v>
      </c>
      <c r="L42" s="982">
        <v>0</v>
      </c>
      <c r="M42" s="982">
        <f t="shared" si="4"/>
        <v>77688</v>
      </c>
      <c r="N42" s="967">
        <f>I10</f>
        <v>87495</v>
      </c>
      <c r="O42" s="977">
        <f t="shared" si="2"/>
        <v>-9807</v>
      </c>
    </row>
    <row r="43" spans="1:15" ht="14.4">
      <c r="A43" s="119">
        <f t="shared" si="3"/>
        <v>2042</v>
      </c>
      <c r="B43" s="1053">
        <f t="shared" si="3"/>
        <v>84</v>
      </c>
      <c r="C43" s="1057">
        <f t="shared" si="3"/>
        <v>82</v>
      </c>
      <c r="D43" s="1026">
        <v>32952</v>
      </c>
      <c r="E43" s="1025">
        <v>16476</v>
      </c>
      <c r="F43" s="982">
        <v>0</v>
      </c>
      <c r="G43" s="719">
        <v>21474</v>
      </c>
      <c r="H43" s="719">
        <v>6786</v>
      </c>
      <c r="I43" s="982">
        <v>0</v>
      </c>
      <c r="J43" s="982">
        <v>0</v>
      </c>
      <c r="K43" s="982">
        <v>0</v>
      </c>
      <c r="L43" s="982">
        <v>0</v>
      </c>
      <c r="M43" s="980">
        <f t="shared" si="4"/>
        <v>77688</v>
      </c>
      <c r="N43" s="967">
        <f>I10</f>
        <v>87495</v>
      </c>
      <c r="O43" s="977">
        <f t="shared" si="2"/>
        <v>-9807</v>
      </c>
    </row>
    <row r="44" spans="1:15" ht="14.4">
      <c r="A44" s="119">
        <f t="shared" si="3"/>
        <v>2043</v>
      </c>
      <c r="B44" s="1053">
        <f t="shared" si="3"/>
        <v>85</v>
      </c>
      <c r="C44" s="1057">
        <f t="shared" si="3"/>
        <v>83</v>
      </c>
      <c r="D44" s="1026">
        <v>32952</v>
      </c>
      <c r="E44" s="1025">
        <v>16476</v>
      </c>
      <c r="F44" s="982">
        <v>0</v>
      </c>
      <c r="G44" s="719">
        <v>21474</v>
      </c>
      <c r="H44" s="719">
        <v>6786</v>
      </c>
      <c r="I44" s="982">
        <v>0</v>
      </c>
      <c r="J44" s="982">
        <v>0</v>
      </c>
      <c r="K44" s="982">
        <v>0</v>
      </c>
      <c r="L44" s="982">
        <v>0</v>
      </c>
      <c r="M44" s="980">
        <f t="shared" si="4"/>
        <v>77688</v>
      </c>
      <c r="N44" s="967">
        <f>I10</f>
        <v>87495</v>
      </c>
      <c r="O44" s="977">
        <f>M44-N49</f>
        <v>-9807</v>
      </c>
    </row>
    <row r="45" spans="1:15" ht="12.45">
      <c r="A45" s="1873"/>
      <c r="B45" s="1874"/>
      <c r="C45" s="1874"/>
      <c r="D45" s="1874"/>
      <c r="E45" s="1874"/>
      <c r="F45" s="1874"/>
      <c r="G45" s="1874"/>
      <c r="H45" s="1874"/>
      <c r="I45" s="1874"/>
      <c r="J45" s="1874"/>
      <c r="K45" s="1874"/>
      <c r="L45" s="1874"/>
      <c r="M45" s="1874"/>
      <c r="N45" s="1874"/>
      <c r="O45" s="1875"/>
    </row>
    <row r="46" spans="1:15" ht="23.6">
      <c r="A46" s="1876" t="s">
        <v>528</v>
      </c>
      <c r="B46" s="1877"/>
      <c r="C46" s="1877"/>
      <c r="D46" s="1877"/>
      <c r="E46" s="1877"/>
      <c r="F46" s="1877"/>
      <c r="G46" s="1877"/>
      <c r="H46" s="1877"/>
      <c r="I46" s="1877"/>
      <c r="J46" s="1877"/>
      <c r="K46" s="1877"/>
      <c r="L46" s="1877"/>
      <c r="M46" s="1877"/>
      <c r="N46" s="1877"/>
      <c r="O46" s="1877"/>
    </row>
    <row r="47" spans="1:15" ht="12.45">
      <c r="A47" s="1878"/>
      <c r="B47" s="1879"/>
      <c r="C47" s="1879"/>
      <c r="D47" s="1879"/>
      <c r="E47" s="1879"/>
      <c r="F47" s="1879"/>
      <c r="G47" s="1879"/>
      <c r="H47" s="1879"/>
      <c r="I47" s="1879"/>
      <c r="J47" s="1879"/>
      <c r="K47" s="1879"/>
      <c r="L47" s="1879"/>
      <c r="M47" s="1879"/>
      <c r="N47" s="1879"/>
      <c r="O47" s="1880"/>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2044</v>
      </c>
      <c r="B49" s="1056">
        <f>B44+1</f>
        <v>86</v>
      </c>
      <c r="C49" s="1062">
        <f>C44+1</f>
        <v>84</v>
      </c>
      <c r="D49" s="1026">
        <v>32952</v>
      </c>
      <c r="E49" s="1025">
        <v>0</v>
      </c>
      <c r="F49" s="982">
        <v>0</v>
      </c>
      <c r="G49" s="719">
        <v>21474</v>
      </c>
      <c r="H49" s="719">
        <v>6786</v>
      </c>
      <c r="I49" s="982">
        <v>0</v>
      </c>
      <c r="J49" s="982">
        <v>0</v>
      </c>
      <c r="K49" s="982">
        <v>0</v>
      </c>
      <c r="L49" s="982">
        <v>0</v>
      </c>
      <c r="M49" s="980">
        <f t="shared" si="4"/>
        <v>61212</v>
      </c>
      <c r="N49" s="967">
        <f>I10</f>
        <v>87495</v>
      </c>
      <c r="O49" s="977">
        <f t="shared" si="2"/>
        <v>-26283</v>
      </c>
    </row>
    <row r="50" spans="1:16" ht="14.4">
      <c r="A50" s="119">
        <f t="shared" si="3"/>
        <v>2045</v>
      </c>
      <c r="B50" s="1054">
        <f t="shared" si="3"/>
        <v>87</v>
      </c>
      <c r="C50" s="1057">
        <f t="shared" si="3"/>
        <v>85</v>
      </c>
      <c r="D50" s="1026">
        <v>32952</v>
      </c>
      <c r="E50" s="1025">
        <v>0</v>
      </c>
      <c r="F50" s="982">
        <v>0</v>
      </c>
      <c r="G50" s="719">
        <v>21474</v>
      </c>
      <c r="H50" s="719">
        <v>6786</v>
      </c>
      <c r="I50" s="982">
        <v>0</v>
      </c>
      <c r="J50" s="982">
        <v>0</v>
      </c>
      <c r="K50" s="982">
        <v>0</v>
      </c>
      <c r="L50" s="982">
        <v>0</v>
      </c>
      <c r="M50" s="980">
        <f t="shared" si="4"/>
        <v>61212</v>
      </c>
      <c r="N50" s="967">
        <f>I10</f>
        <v>87495</v>
      </c>
      <c r="O50" s="977">
        <f t="shared" si="2"/>
        <v>-26283</v>
      </c>
    </row>
    <row r="51" spans="1:16" ht="14.4">
      <c r="A51" s="119">
        <f t="shared" si="3"/>
        <v>2046</v>
      </c>
      <c r="B51" s="1053">
        <f t="shared" si="3"/>
        <v>88</v>
      </c>
      <c r="C51" s="1057">
        <f t="shared" si="3"/>
        <v>86</v>
      </c>
      <c r="D51" s="1026">
        <v>32952</v>
      </c>
      <c r="E51" s="1025">
        <v>0</v>
      </c>
      <c r="F51" s="982">
        <v>0</v>
      </c>
      <c r="G51" s="719">
        <v>21474</v>
      </c>
      <c r="H51" s="719">
        <v>6786</v>
      </c>
      <c r="I51" s="982">
        <v>0</v>
      </c>
      <c r="J51" s="982">
        <v>0</v>
      </c>
      <c r="K51" s="982">
        <v>0</v>
      </c>
      <c r="L51" s="982">
        <v>0</v>
      </c>
      <c r="M51" s="980">
        <f t="shared" si="4"/>
        <v>61212</v>
      </c>
      <c r="N51" s="967">
        <f>I10</f>
        <v>87495</v>
      </c>
      <c r="O51" s="977">
        <f t="shared" si="2"/>
        <v>-26283</v>
      </c>
    </row>
    <row r="52" spans="1:16" ht="14.4">
      <c r="A52" s="144">
        <f t="shared" si="3"/>
        <v>2047</v>
      </c>
      <c r="B52" s="1052">
        <f t="shared" si="3"/>
        <v>89</v>
      </c>
      <c r="C52" s="1060">
        <f t="shared" si="3"/>
        <v>87</v>
      </c>
      <c r="D52" s="1026">
        <v>32952</v>
      </c>
      <c r="E52" s="1025">
        <v>0</v>
      </c>
      <c r="F52" s="982">
        <v>0</v>
      </c>
      <c r="G52" s="719">
        <v>21474</v>
      </c>
      <c r="H52" s="719">
        <v>6786</v>
      </c>
      <c r="I52" s="982">
        <v>0</v>
      </c>
      <c r="J52" s="982">
        <v>0</v>
      </c>
      <c r="K52" s="982">
        <v>0</v>
      </c>
      <c r="L52" s="982">
        <v>0</v>
      </c>
      <c r="M52" s="980">
        <f t="shared" si="4"/>
        <v>61212</v>
      </c>
      <c r="N52" s="984">
        <f>I10</f>
        <v>87495</v>
      </c>
      <c r="O52" s="985">
        <f>M52-N54</f>
        <v>-26283</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2048</v>
      </c>
      <c r="B54" s="1063">
        <f>B52+1</f>
        <v>90</v>
      </c>
      <c r="C54" s="1064">
        <f>C52+1</f>
        <v>88</v>
      </c>
      <c r="D54" s="1026">
        <v>32952</v>
      </c>
      <c r="E54" s="1025">
        <v>0</v>
      </c>
      <c r="F54" s="982">
        <v>0</v>
      </c>
      <c r="G54" s="719">
        <v>21474</v>
      </c>
      <c r="H54" s="719">
        <v>6786</v>
      </c>
      <c r="I54" s="982">
        <v>0</v>
      </c>
      <c r="J54" s="982">
        <v>0</v>
      </c>
      <c r="K54" s="982">
        <v>0</v>
      </c>
      <c r="L54" s="982">
        <v>0</v>
      </c>
      <c r="M54" s="980">
        <f t="shared" si="4"/>
        <v>61212</v>
      </c>
      <c r="N54" s="967">
        <f>I10</f>
        <v>87495</v>
      </c>
      <c r="O54" s="977">
        <f>M54-N55</f>
        <v>-26283</v>
      </c>
    </row>
    <row r="55" spans="1:16" ht="13.1" customHeight="1">
      <c r="A55" s="137">
        <f t="shared" ref="A55:C57" si="5">A54+1</f>
        <v>2049</v>
      </c>
      <c r="B55" s="1054">
        <f t="shared" si="5"/>
        <v>91</v>
      </c>
      <c r="C55" s="1059">
        <f t="shared" si="5"/>
        <v>89</v>
      </c>
      <c r="D55" s="1026">
        <v>32952</v>
      </c>
      <c r="E55" s="1025">
        <v>0</v>
      </c>
      <c r="F55" s="982">
        <v>0</v>
      </c>
      <c r="G55" s="719">
        <v>21474</v>
      </c>
      <c r="H55" s="719">
        <v>6786</v>
      </c>
      <c r="I55" s="982">
        <v>0</v>
      </c>
      <c r="J55" s="982">
        <v>0</v>
      </c>
      <c r="K55" s="982">
        <v>0</v>
      </c>
      <c r="L55" s="982">
        <v>0</v>
      </c>
      <c r="M55" s="980">
        <f t="shared" si="4"/>
        <v>61212</v>
      </c>
      <c r="N55" s="967">
        <f>I10</f>
        <v>87495</v>
      </c>
      <c r="O55" s="977">
        <f>M55-N55</f>
        <v>-26283</v>
      </c>
    </row>
    <row r="56" spans="1:16" ht="13.1" customHeight="1">
      <c r="A56" s="137">
        <f t="shared" si="5"/>
        <v>2050</v>
      </c>
      <c r="B56" s="1054">
        <f t="shared" si="5"/>
        <v>92</v>
      </c>
      <c r="C56" s="1059">
        <f t="shared" si="5"/>
        <v>90</v>
      </c>
      <c r="D56" s="1026">
        <v>32952</v>
      </c>
      <c r="E56" s="1025">
        <v>0</v>
      </c>
      <c r="F56" s="982">
        <v>0</v>
      </c>
      <c r="G56" s="719">
        <v>21474</v>
      </c>
      <c r="H56" s="719">
        <v>6786</v>
      </c>
      <c r="I56" s="982">
        <v>0</v>
      </c>
      <c r="J56" s="982">
        <v>0</v>
      </c>
      <c r="K56" s="982">
        <v>0</v>
      </c>
      <c r="L56" s="982">
        <v>0</v>
      </c>
      <c r="M56" s="980">
        <f t="shared" si="4"/>
        <v>61212</v>
      </c>
      <c r="N56" s="967">
        <f>I10</f>
        <v>87495</v>
      </c>
      <c r="O56" s="977">
        <f t="shared" ref="O56:O57" si="6">M56-N56</f>
        <v>-26283</v>
      </c>
    </row>
    <row r="57" spans="1:16" ht="13.1" customHeight="1">
      <c r="A57" s="137">
        <f t="shared" si="5"/>
        <v>2051</v>
      </c>
      <c r="B57" s="1054">
        <f t="shared" si="5"/>
        <v>93</v>
      </c>
      <c r="C57" s="1059">
        <f t="shared" si="5"/>
        <v>91</v>
      </c>
      <c r="D57" s="1026">
        <v>32952</v>
      </c>
      <c r="E57" s="1025">
        <v>0</v>
      </c>
      <c r="F57" s="982">
        <v>0</v>
      </c>
      <c r="G57" s="719">
        <v>21474</v>
      </c>
      <c r="H57" s="719">
        <v>6786</v>
      </c>
      <c r="I57" s="982">
        <v>0</v>
      </c>
      <c r="J57" s="982">
        <v>0</v>
      </c>
      <c r="K57" s="982">
        <v>0</v>
      </c>
      <c r="L57" s="982">
        <v>0</v>
      </c>
      <c r="M57" s="980">
        <f t="shared" si="4"/>
        <v>61212</v>
      </c>
      <c r="N57" s="967">
        <f>I10</f>
        <v>87495</v>
      </c>
      <c r="O57" s="977">
        <f t="shared" si="6"/>
        <v>-26283</v>
      </c>
    </row>
    <row r="58" spans="1:16" ht="12.45">
      <c r="A58" s="1864"/>
      <c r="B58" s="1864"/>
      <c r="C58" s="1864"/>
      <c r="D58" s="1864"/>
      <c r="E58" s="1864"/>
      <c r="F58" s="1864"/>
      <c r="G58" s="1864"/>
      <c r="H58" s="1864"/>
      <c r="I58" s="1864"/>
      <c r="J58" s="1864"/>
      <c r="K58" s="1864"/>
      <c r="L58" s="1864"/>
      <c r="M58" s="1864"/>
      <c r="N58" s="1864"/>
      <c r="O58" s="1865"/>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49995422223578601"/>
  </sheetPr>
  <dimension ref="A1:Q65"/>
  <sheetViews>
    <sheetView showGridLines="0" workbookViewId="0"/>
  </sheetViews>
  <sheetFormatPr defaultColWidth="9.125" defaultRowHeight="12.45"/>
  <cols>
    <col min="1" max="1" width="14" customWidth="1"/>
    <col min="2" max="2" width="14.25" style="89" customWidth="1"/>
    <col min="3" max="3" width="38.75" customWidth="1"/>
    <col min="4" max="4" width="14.25" customWidth="1"/>
    <col min="5" max="5" width="21.375" style="152" customWidth="1"/>
    <col min="6" max="6" width="7.125"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20.3">
      <c r="D1" s="308"/>
      <c r="E1" s="1608" t="s">
        <v>135</v>
      </c>
      <c r="F1" s="1608"/>
      <c r="G1" s="922">
        <f ca="1">TODAY()</f>
        <v>46198</v>
      </c>
      <c r="H1" s="308"/>
      <c r="I1" s="308"/>
      <c r="K1" s="1028" t="s">
        <v>136</v>
      </c>
      <c r="M1" s="192"/>
      <c r="O1" s="191"/>
    </row>
    <row r="2" spans="1:16" ht="15.05">
      <c r="B2" s="422"/>
      <c r="D2" s="307"/>
      <c r="E2" s="307"/>
      <c r="F2" s="307"/>
      <c r="G2" s="307"/>
      <c r="H2" s="307"/>
      <c r="I2" s="307"/>
      <c r="L2" s="192"/>
      <c r="M2" s="192"/>
    </row>
    <row r="3" spans="1:16" ht="20.3">
      <c r="E3" s="1609" t="s">
        <v>529</v>
      </c>
      <c r="F3" s="1609"/>
      <c r="G3" s="1609"/>
      <c r="H3" s="1609"/>
      <c r="I3" s="1609"/>
      <c r="J3" s="1609"/>
      <c r="K3" s="1609"/>
      <c r="L3" s="1043"/>
      <c r="M3" s="560"/>
      <c r="N3" s="996"/>
      <c r="O3" s="996"/>
    </row>
    <row r="4" spans="1:16" ht="17.7">
      <c r="E4" s="1654" t="s">
        <v>530</v>
      </c>
      <c r="F4" s="1654"/>
      <c r="G4" s="1654"/>
      <c r="H4" s="1654"/>
      <c r="I4" s="1654"/>
      <c r="J4" s="1654"/>
      <c r="K4" s="1654"/>
      <c r="L4" s="1044"/>
      <c r="M4" s="560"/>
      <c r="N4" s="608"/>
      <c r="O4" s="608"/>
      <c r="P4" s="306"/>
    </row>
    <row r="5" spans="1:16" ht="17.7">
      <c r="G5" s="1045"/>
      <c r="H5" s="1045"/>
      <c r="I5" s="1045"/>
      <c r="J5" s="1045"/>
      <c r="M5" s="475"/>
      <c r="N5" s="608"/>
      <c r="O5" s="608"/>
      <c r="P5" s="306"/>
    </row>
    <row r="6" spans="1:16" s="15" customFormat="1" ht="11.45" customHeight="1">
      <c r="A6" s="7" t="s">
        <v>138</v>
      </c>
      <c r="B6" s="8"/>
      <c r="C6" s="605"/>
      <c r="D6" s="9"/>
      <c r="E6" s="610" t="s">
        <v>139</v>
      </c>
      <c r="F6" s="11"/>
      <c r="G6" s="611" t="s">
        <v>140</v>
      </c>
      <c r="H6" s="11"/>
      <c r="I6" s="612" t="s">
        <v>141</v>
      </c>
      <c r="J6" s="13"/>
      <c r="K6" s="612" t="s">
        <v>142</v>
      </c>
      <c r="L6" s="48"/>
      <c r="M6" s="11" t="s">
        <v>143</v>
      </c>
      <c r="N6" s="11"/>
      <c r="O6" s="14" t="s">
        <v>144</v>
      </c>
    </row>
    <row r="7" spans="1:16" s="15" customFormat="1" ht="14.1" customHeight="1">
      <c r="A7" s="193"/>
      <c r="C7" s="196"/>
      <c r="E7" s="204"/>
      <c r="G7" s="353"/>
      <c r="I7" s="49"/>
      <c r="J7" s="49"/>
      <c r="K7" s="195"/>
      <c r="L7" s="50"/>
      <c r="M7" s="49"/>
      <c r="N7" s="49"/>
      <c r="O7" s="49"/>
    </row>
    <row r="8" spans="1:16" s="15" customFormat="1" ht="17.7">
      <c r="A8" s="893" t="s">
        <v>145</v>
      </c>
      <c r="C8" s="1029" t="s">
        <v>152</v>
      </c>
      <c r="E8" s="194"/>
      <c r="G8" s="18"/>
      <c r="I8" s="49"/>
      <c r="J8" s="49"/>
      <c r="K8" s="895">
        <v>10000</v>
      </c>
      <c r="L8" s="50"/>
      <c r="M8" s="49"/>
      <c r="N8" s="49"/>
      <c r="O8" s="49"/>
    </row>
    <row r="9" spans="1:16" s="15" customFormat="1" ht="17.7">
      <c r="A9" s="893" t="s">
        <v>145</v>
      </c>
      <c r="C9" s="894" t="s">
        <v>153</v>
      </c>
      <c r="E9" s="194"/>
      <c r="G9" s="18"/>
      <c r="I9" s="49"/>
      <c r="J9" s="49"/>
      <c r="K9" s="895">
        <v>10000</v>
      </c>
      <c r="L9" s="50"/>
      <c r="M9" s="49"/>
      <c r="N9" s="49"/>
      <c r="O9" s="49"/>
    </row>
    <row r="10" spans="1:16" s="15" customFormat="1" ht="17.7">
      <c r="A10" s="893" t="s">
        <v>145</v>
      </c>
      <c r="C10" s="896" t="s">
        <v>531</v>
      </c>
      <c r="E10" s="194"/>
      <c r="G10" s="18"/>
      <c r="I10" s="49"/>
      <c r="J10" s="49"/>
      <c r="K10" s="897">
        <v>30000</v>
      </c>
      <c r="L10" s="50"/>
      <c r="M10" s="49"/>
      <c r="N10" s="49"/>
      <c r="O10" s="49"/>
    </row>
    <row r="11" spans="1:16" s="15" customFormat="1" ht="17.7">
      <c r="A11" s="893"/>
      <c r="C11" s="896"/>
      <c r="E11" s="194"/>
      <c r="G11" s="18"/>
      <c r="I11" s="49"/>
      <c r="J11" s="49"/>
      <c r="K11" s="897">
        <v>0</v>
      </c>
      <c r="L11" s="606"/>
      <c r="M11" s="590"/>
      <c r="N11" s="49"/>
      <c r="O11" s="49"/>
    </row>
    <row r="12" spans="1:16" s="15" customFormat="1" ht="17.7">
      <c r="A12" s="893"/>
      <c r="C12" s="896"/>
      <c r="E12" s="194"/>
      <c r="G12" s="18"/>
      <c r="I12" s="49"/>
      <c r="J12" s="49"/>
      <c r="K12" s="895">
        <v>0</v>
      </c>
      <c r="L12" s="606"/>
      <c r="N12" s="49"/>
      <c r="O12" s="49"/>
    </row>
    <row r="13" spans="1:16" s="15" customFormat="1" ht="17.7">
      <c r="A13" s="893"/>
      <c r="C13" s="896"/>
      <c r="E13" s="194"/>
      <c r="G13" s="18"/>
      <c r="I13" s="49"/>
      <c r="J13" s="49"/>
      <c r="K13" s="895">
        <v>0</v>
      </c>
      <c r="L13" s="606"/>
      <c r="N13" s="49"/>
      <c r="O13" s="49"/>
    </row>
    <row r="14" spans="1:16" s="15" customFormat="1" ht="14.1" customHeight="1">
      <c r="A14" s="898"/>
      <c r="C14" s="894"/>
      <c r="D14" s="598"/>
      <c r="E14" s="194"/>
      <c r="G14" s="200"/>
      <c r="I14" s="49"/>
      <c r="J14" s="49"/>
      <c r="K14" s="895">
        <v>0</v>
      </c>
      <c r="L14" s="56"/>
      <c r="M14" s="49"/>
      <c r="N14" s="49"/>
      <c r="O14" s="49"/>
    </row>
    <row r="15" spans="1:16" s="15" customFormat="1" ht="14.1" customHeight="1">
      <c r="A15" s="893"/>
      <c r="C15" s="896"/>
      <c r="D15" s="598"/>
      <c r="E15" s="194"/>
      <c r="G15" s="200"/>
      <c r="I15" s="49"/>
      <c r="J15" s="49"/>
      <c r="K15" s="895">
        <v>0</v>
      </c>
      <c r="L15" s="56"/>
      <c r="M15" s="49"/>
      <c r="N15" s="49"/>
      <c r="O15" s="49"/>
    </row>
    <row r="16" spans="1:16" s="15" customFormat="1" ht="14.1" customHeight="1">
      <c r="A16" s="893"/>
      <c r="C16" s="896"/>
      <c r="D16" s="598"/>
      <c r="E16" s="194"/>
      <c r="G16" s="200"/>
      <c r="I16" s="49"/>
      <c r="J16" s="49"/>
      <c r="K16" s="895">
        <v>0</v>
      </c>
      <c r="L16" s="56"/>
      <c r="M16" s="49"/>
      <c r="N16" s="49"/>
      <c r="O16" s="49"/>
    </row>
    <row r="17" spans="1:15" s="15" customFormat="1" ht="17.7">
      <c r="A17" s="16"/>
      <c r="E17" s="17"/>
      <c r="G17" s="18"/>
      <c r="I17" s="49"/>
      <c r="J17" s="49"/>
      <c r="K17" s="51"/>
      <c r="L17" s="50"/>
      <c r="M17" s="669">
        <f>SUM(K8:K16)</f>
        <v>50000</v>
      </c>
      <c r="N17" s="49"/>
      <c r="O17" s="49"/>
    </row>
    <row r="18" spans="1:15" s="15" customFormat="1" ht="17.7">
      <c r="A18" s="16"/>
      <c r="E18" s="17"/>
      <c r="G18" s="18"/>
      <c r="I18" s="49"/>
      <c r="J18" s="49"/>
      <c r="K18" s="49"/>
      <c r="L18" s="50"/>
      <c r="M18" s="49"/>
      <c r="N18" s="49"/>
      <c r="O18" s="205">
        <f>SUM(M17)</f>
        <v>50000</v>
      </c>
    </row>
    <row r="19" spans="1:15" s="15" customFormat="1" ht="14.1" customHeight="1">
      <c r="A19" s="7" t="s">
        <v>156</v>
      </c>
      <c r="B19" s="11"/>
      <c r="C19" s="9"/>
      <c r="D19" s="11"/>
      <c r="E19" s="10" t="s">
        <v>139</v>
      </c>
      <c r="F19" s="11"/>
      <c r="G19" s="12" t="s">
        <v>140</v>
      </c>
      <c r="H19" s="11"/>
      <c r="I19" s="13" t="s">
        <v>141</v>
      </c>
      <c r="J19" s="13"/>
      <c r="K19" s="13" t="s">
        <v>142</v>
      </c>
      <c r="L19" s="48"/>
      <c r="M19" s="11" t="s">
        <v>143</v>
      </c>
      <c r="N19" s="11"/>
      <c r="O19" s="14" t="s">
        <v>144</v>
      </c>
    </row>
    <row r="20" spans="1:15" s="15" customFormat="1" ht="17.7">
      <c r="A20" s="898"/>
      <c r="B20" s="197"/>
      <c r="C20" s="894"/>
      <c r="D20" s="899"/>
      <c r="E20" s="588"/>
      <c r="G20" s="200"/>
      <c r="I20" s="201"/>
      <c r="J20" s="49"/>
      <c r="K20" s="895">
        <v>0</v>
      </c>
      <c r="L20" s="56"/>
      <c r="M20" s="49"/>
      <c r="N20" s="49"/>
      <c r="O20" s="49"/>
    </row>
    <row r="21" spans="1:15" s="15" customFormat="1" ht="17.7">
      <c r="A21" s="900" t="s">
        <v>148</v>
      </c>
      <c r="B21" s="203"/>
      <c r="C21" s="894" t="s">
        <v>532</v>
      </c>
      <c r="D21" s="899" t="s">
        <v>533</v>
      </c>
      <c r="E21" s="194"/>
      <c r="G21" s="1607"/>
      <c r="H21" s="1607"/>
      <c r="I21" s="1607"/>
      <c r="J21" s="1607"/>
      <c r="K21" s="897">
        <v>499060.55</v>
      </c>
      <c r="L21" s="446"/>
      <c r="M21" s="201"/>
      <c r="N21" s="49"/>
      <c r="O21" s="205"/>
    </row>
    <row r="22" spans="1:15" s="15" customFormat="1" ht="14.1" customHeight="1">
      <c r="A22" s="900"/>
      <c r="B22" s="203"/>
      <c r="C22" s="894"/>
      <c r="D22" s="901"/>
      <c r="E22" s="194"/>
      <c r="G22" s="1607"/>
      <c r="H22" s="1607"/>
      <c r="I22" s="1607"/>
      <c r="J22" s="1607"/>
      <c r="K22" s="897">
        <v>0</v>
      </c>
      <c r="L22" s="50"/>
      <c r="M22" s="49"/>
      <c r="N22" s="49"/>
      <c r="O22" s="49"/>
    </row>
    <row r="23" spans="1:15" ht="17.7">
      <c r="A23" s="900"/>
      <c r="C23" s="894"/>
      <c r="D23" s="901"/>
      <c r="E23" s="17"/>
      <c r="K23" s="897">
        <v>0</v>
      </c>
    </row>
    <row r="24" spans="1:15" ht="17.7">
      <c r="A24" s="900"/>
      <c r="C24" s="894"/>
      <c r="D24" s="899"/>
      <c r="E24" s="17"/>
      <c r="K24" s="897">
        <v>0</v>
      </c>
    </row>
    <row r="25" spans="1:15" ht="17.7">
      <c r="A25" s="900"/>
      <c r="C25" s="894"/>
      <c r="D25" s="901"/>
      <c r="E25" s="17"/>
      <c r="K25" s="897">
        <v>0</v>
      </c>
    </row>
    <row r="26" spans="1:15" s="15" customFormat="1" ht="17.7">
      <c r="A26" s="921"/>
      <c r="B26" s="203"/>
      <c r="C26" s="896"/>
      <c r="D26" s="899"/>
      <c r="E26" s="194"/>
      <c r="G26" s="18"/>
      <c r="I26" s="201"/>
      <c r="J26" s="49"/>
      <c r="K26" s="897">
        <v>0</v>
      </c>
      <c r="L26" s="50"/>
      <c r="M26" s="49"/>
      <c r="N26" s="49"/>
      <c r="O26" s="49"/>
    </row>
    <row r="27" spans="1:15" s="15" customFormat="1" ht="14.1" customHeight="1">
      <c r="A27" s="921"/>
      <c r="B27" s="203"/>
      <c r="C27" s="896"/>
      <c r="D27" s="899"/>
      <c r="E27" s="194"/>
      <c r="G27" s="1607"/>
      <c r="H27" s="1607"/>
      <c r="I27" s="1607"/>
      <c r="J27" s="1607"/>
      <c r="K27" s="897">
        <v>0</v>
      </c>
      <c r="L27" s="50"/>
      <c r="M27" s="49"/>
      <c r="N27" s="49"/>
      <c r="O27" s="49"/>
    </row>
    <row r="28" spans="1:15" s="15" customFormat="1" ht="14.1" customHeight="1">
      <c r="A28" s="921"/>
      <c r="B28" s="203"/>
      <c r="C28" s="896"/>
      <c r="D28" s="899"/>
      <c r="E28" s="194"/>
      <c r="G28" s="18"/>
      <c r="I28" s="201"/>
      <c r="J28" s="49"/>
      <c r="K28" s="897">
        <v>0</v>
      </c>
      <c r="L28" s="50"/>
      <c r="M28" s="49"/>
      <c r="N28" s="49"/>
      <c r="O28" s="49"/>
    </row>
    <row r="29" spans="1:15" s="15" customFormat="1" ht="14.1" customHeight="1">
      <c r="A29" s="900"/>
      <c r="B29" s="203"/>
      <c r="C29" s="896"/>
      <c r="D29" s="899"/>
      <c r="E29" s="199"/>
      <c r="G29" s="18"/>
      <c r="I29" s="201"/>
      <c r="J29" s="49"/>
      <c r="K29" s="897">
        <v>0</v>
      </c>
      <c r="L29" s="50"/>
      <c r="M29" s="49"/>
      <c r="N29" s="49"/>
      <c r="O29" s="49"/>
    </row>
    <row r="30" spans="1:15" s="15" customFormat="1" ht="17.7">
      <c r="A30" s="52"/>
      <c r="B30" s="203"/>
      <c r="C30" s="196"/>
      <c r="D30" s="198"/>
      <c r="G30" s="200"/>
      <c r="I30" s="201"/>
      <c r="J30" s="49"/>
      <c r="K30" s="202"/>
      <c r="L30" s="50"/>
      <c r="M30" s="495">
        <f>SUM(K20:K30)</f>
        <v>499060.55</v>
      </c>
      <c r="N30" s="49"/>
      <c r="O30" s="49"/>
    </row>
    <row r="31" spans="1:15" ht="17.7">
      <c r="A31" s="902" t="s">
        <v>148</v>
      </c>
      <c r="C31" s="903" t="s">
        <v>534</v>
      </c>
      <c r="D31" s="1073"/>
      <c r="K31" s="904">
        <v>428939.45</v>
      </c>
      <c r="M31" s="671">
        <f>K31</f>
        <v>428939.45</v>
      </c>
    </row>
    <row r="32" spans="1:15" s="15" customFormat="1" ht="17.7">
      <c r="A32" s="16"/>
      <c r="B32" s="16"/>
      <c r="E32" s="17"/>
      <c r="G32" s="18"/>
      <c r="I32" s="145"/>
      <c r="J32" s="146"/>
      <c r="K32" s="145"/>
      <c r="L32" s="50"/>
      <c r="O32" s="323">
        <f>SUM(M30:M31)</f>
        <v>928000</v>
      </c>
    </row>
    <row r="33" spans="1:17" s="15" customFormat="1" ht="14.1" customHeight="1">
      <c r="A33" s="7" t="s">
        <v>166</v>
      </c>
      <c r="B33" s="8"/>
      <c r="C33" s="9"/>
      <c r="D33" s="9"/>
      <c r="E33" s="11"/>
      <c r="F33" s="9"/>
      <c r="G33" s="20"/>
      <c r="H33" s="20"/>
      <c r="I33" s="53"/>
      <c r="J33" s="53"/>
      <c r="K33" s="53"/>
      <c r="L33" s="48"/>
      <c r="M33" s="9"/>
      <c r="N33" s="9"/>
      <c r="O33" s="54"/>
    </row>
    <row r="34" spans="1:17" s="15" customFormat="1" ht="17.7">
      <c r="E34" s="17"/>
      <c r="G34" s="18"/>
      <c r="I34" s="49"/>
      <c r="J34" s="49"/>
      <c r="K34" s="55"/>
      <c r="L34" s="56"/>
      <c r="M34" s="57"/>
      <c r="N34" s="57"/>
      <c r="O34" s="323">
        <f>SUM(O18+O32)</f>
        <v>978000</v>
      </c>
    </row>
    <row r="35" spans="1:17" s="15" customFormat="1" ht="14.1" customHeight="1">
      <c r="A35" s="7" t="s">
        <v>167</v>
      </c>
      <c r="B35" s="9"/>
      <c r="C35" s="9"/>
      <c r="D35" s="9"/>
      <c r="E35" s="10" t="s">
        <v>168</v>
      </c>
      <c r="F35" s="11"/>
      <c r="G35" s="12" t="s">
        <v>169</v>
      </c>
      <c r="H35" s="11"/>
      <c r="I35" s="11" t="s">
        <v>170</v>
      </c>
      <c r="J35" s="11"/>
      <c r="K35" s="11" t="s">
        <v>171</v>
      </c>
      <c r="L35" s="48"/>
      <c r="M35" s="11" t="s">
        <v>172</v>
      </c>
      <c r="N35" s="59"/>
      <c r="O35" s="60"/>
    </row>
    <row r="36" spans="1:17" s="15" customFormat="1" ht="14.1" customHeight="1">
      <c r="A36" s="362"/>
      <c r="B36" s="363"/>
      <c r="C36" s="363"/>
      <c r="D36" s="363"/>
      <c r="E36" s="364"/>
      <c r="F36" s="365"/>
      <c r="G36" s="366"/>
      <c r="H36" s="365"/>
      <c r="I36" s="365"/>
      <c r="J36" s="365"/>
      <c r="K36" s="365"/>
      <c r="L36" s="367"/>
      <c r="M36" s="365"/>
      <c r="N36" s="368"/>
      <c r="O36" s="368"/>
    </row>
    <row r="37" spans="1:17" s="15" customFormat="1" ht="14.1" customHeight="1">
      <c r="A37" s="905" t="s">
        <v>148</v>
      </c>
      <c r="C37" s="906" t="s">
        <v>173</v>
      </c>
      <c r="E37" s="907"/>
      <c r="G37" s="908"/>
      <c r="I37" s="909"/>
      <c r="J37" s="49"/>
      <c r="K37" s="910">
        <v>0</v>
      </c>
      <c r="L37" s="56"/>
      <c r="M37" s="911">
        <v>175000</v>
      </c>
      <c r="N37" s="57"/>
      <c r="O37" s="58"/>
    </row>
    <row r="38" spans="1:17" s="15" customFormat="1" ht="14.1" customHeight="1">
      <c r="A38" s="905" t="s">
        <v>154</v>
      </c>
      <c r="C38" s="906" t="s">
        <v>173</v>
      </c>
      <c r="E38" s="907"/>
      <c r="G38" s="908"/>
      <c r="I38" s="909"/>
      <c r="J38" s="49"/>
      <c r="K38" s="910">
        <v>0</v>
      </c>
      <c r="L38" s="56"/>
      <c r="M38" s="911">
        <v>15000</v>
      </c>
      <c r="N38" s="57"/>
      <c r="O38" s="58"/>
    </row>
    <row r="39" spans="1:17" s="15" customFormat="1" ht="14.1" customHeight="1">
      <c r="A39" s="905"/>
      <c r="C39" s="906"/>
      <c r="E39" s="907"/>
      <c r="G39" s="908"/>
      <c r="I39" s="909"/>
      <c r="J39" s="49"/>
      <c r="K39" s="910">
        <v>0</v>
      </c>
      <c r="L39" s="56"/>
      <c r="M39" s="911">
        <v>0</v>
      </c>
      <c r="N39" s="57"/>
      <c r="O39" s="58"/>
    </row>
    <row r="40" spans="1:17" s="15" customFormat="1" ht="14.1" customHeight="1">
      <c r="A40" s="905"/>
      <c r="C40" s="906"/>
      <c r="E40" s="907"/>
      <c r="G40" s="908"/>
      <c r="I40" s="909"/>
      <c r="J40" s="49"/>
      <c r="K40" s="910">
        <v>0</v>
      </c>
      <c r="L40" s="56"/>
      <c r="M40" s="911">
        <v>0</v>
      </c>
      <c r="N40" s="57"/>
      <c r="O40" s="58"/>
    </row>
    <row r="41" spans="1:17" s="15" customFormat="1" ht="13.6" customHeight="1">
      <c r="A41" s="16"/>
      <c r="E41" s="153"/>
      <c r="G41" s="18"/>
      <c r="I41" s="49"/>
      <c r="J41" s="49"/>
      <c r="K41" s="591" t="s">
        <v>174</v>
      </c>
      <c r="L41" s="56"/>
      <c r="M41" s="147"/>
      <c r="N41" s="57"/>
      <c r="O41" s="323">
        <f>SUM(K37:K40)</f>
        <v>0</v>
      </c>
    </row>
    <row r="42" spans="1:17" s="2" customFormat="1" ht="13.6" customHeight="1">
      <c r="A42" s="24" t="s">
        <v>175</v>
      </c>
      <c r="B42" s="29"/>
      <c r="C42" s="30"/>
      <c r="D42" s="29"/>
      <c r="E42" s="13" t="s">
        <v>176</v>
      </c>
      <c r="F42" s="25"/>
      <c r="G42" s="25" t="s">
        <v>169</v>
      </c>
      <c r="H42" s="26"/>
      <c r="I42" s="25" t="s">
        <v>170</v>
      </c>
      <c r="J42" s="11"/>
      <c r="K42" s="26" t="s">
        <v>177</v>
      </c>
      <c r="L42" s="25"/>
      <c r="M42" s="13" t="s">
        <v>178</v>
      </c>
      <c r="N42" s="11"/>
      <c r="O42" s="27" t="s">
        <v>179</v>
      </c>
      <c r="P42" s="28"/>
      <c r="Q42" s="28"/>
    </row>
    <row r="43" spans="1:17" ht="14.1" customHeight="1">
      <c r="A43" s="905" t="s">
        <v>148</v>
      </c>
      <c r="B43" s="31"/>
      <c r="C43" s="906" t="s">
        <v>92</v>
      </c>
      <c r="D43" s="2"/>
      <c r="E43" s="912"/>
      <c r="F43" s="2"/>
      <c r="G43" s="913"/>
      <c r="H43" s="2"/>
      <c r="I43" s="914" t="s">
        <v>180</v>
      </c>
      <c r="J43" s="61"/>
      <c r="K43" s="915" t="s">
        <v>180</v>
      </c>
      <c r="L43" s="62"/>
      <c r="M43" s="916">
        <v>0</v>
      </c>
      <c r="N43" s="63"/>
      <c r="O43" s="917"/>
    </row>
    <row r="44" spans="1:17" ht="14.1" customHeight="1">
      <c r="A44" s="905" t="s">
        <v>154</v>
      </c>
      <c r="B44" s="31"/>
      <c r="C44" s="906"/>
      <c r="D44" s="2"/>
      <c r="E44" s="912"/>
      <c r="F44" s="2"/>
      <c r="G44" s="913"/>
      <c r="H44" s="2"/>
      <c r="I44" s="914" t="s">
        <v>180</v>
      </c>
      <c r="J44" s="61"/>
      <c r="K44" s="915" t="s">
        <v>180</v>
      </c>
      <c r="L44" s="62"/>
      <c r="M44" s="916"/>
      <c r="N44" s="63"/>
      <c r="O44" s="917"/>
    </row>
    <row r="45" spans="1:17" ht="14.1" customHeight="1">
      <c r="A45" s="905"/>
      <c r="B45" s="31"/>
      <c r="C45" s="906"/>
      <c r="D45" s="2"/>
      <c r="E45" s="912"/>
      <c r="F45" s="2"/>
      <c r="G45" s="913"/>
      <c r="H45" s="2"/>
      <c r="I45" s="914" t="s">
        <v>180</v>
      </c>
      <c r="J45" s="61"/>
      <c r="K45" s="915" t="s">
        <v>180</v>
      </c>
      <c r="L45" s="62"/>
      <c r="M45" s="916"/>
      <c r="N45" s="63"/>
      <c r="O45" s="917"/>
    </row>
    <row r="46" spans="1:17" ht="14.1" customHeight="1">
      <c r="A46" s="905"/>
      <c r="B46" s="31"/>
      <c r="C46" s="906"/>
      <c r="D46" s="2"/>
      <c r="E46" s="912"/>
      <c r="F46" s="2"/>
      <c r="G46" s="913"/>
      <c r="H46" s="2"/>
      <c r="I46" s="914" t="s">
        <v>180</v>
      </c>
      <c r="J46" s="61"/>
      <c r="K46" s="915" t="s">
        <v>180</v>
      </c>
      <c r="L46" s="62"/>
      <c r="M46" s="916"/>
      <c r="N46" s="63"/>
      <c r="O46" s="917"/>
    </row>
    <row r="47" spans="1:17" s="15" customFormat="1" ht="17.7">
      <c r="A47" s="7" t="s">
        <v>181</v>
      </c>
      <c r="B47" s="1605" t="s">
        <v>182</v>
      </c>
      <c r="C47" s="1605"/>
      <c r="D47" s="1606" t="s">
        <v>183</v>
      </c>
      <c r="E47" s="1606"/>
      <c r="F47" s="11" t="s">
        <v>184</v>
      </c>
      <c r="G47" s="64" t="s">
        <v>185</v>
      </c>
      <c r="H47" s="59"/>
      <c r="I47" s="59" t="s">
        <v>186</v>
      </c>
      <c r="J47" s="59"/>
      <c r="K47" s="59" t="s">
        <v>187</v>
      </c>
      <c r="L47" s="48"/>
      <c r="M47" s="59" t="s">
        <v>188</v>
      </c>
      <c r="N47" s="59"/>
      <c r="O47" s="60"/>
    </row>
    <row r="48" spans="1:17" s="15" customFormat="1" ht="17.7">
      <c r="A48" s="905" t="s">
        <v>189</v>
      </c>
      <c r="B48" s="1602">
        <v>0</v>
      </c>
      <c r="C48" s="1602"/>
      <c r="D48" s="1603">
        <v>0</v>
      </c>
      <c r="E48" s="1603"/>
      <c r="F48" s="1036" t="s">
        <v>192</v>
      </c>
      <c r="G48" s="1036">
        <v>0</v>
      </c>
      <c r="I48" s="918">
        <v>0</v>
      </c>
      <c r="J48" s="49"/>
      <c r="K48" s="919">
        <v>250000</v>
      </c>
      <c r="L48" s="50"/>
      <c r="M48" s="195">
        <f>K48-I48</f>
        <v>250000</v>
      </c>
      <c r="N48" s="49"/>
      <c r="O48" s="49"/>
    </row>
    <row r="49" spans="1:15" s="15" customFormat="1" ht="17.7">
      <c r="A49" s="905"/>
      <c r="B49" s="1602"/>
      <c r="C49" s="1602"/>
      <c r="D49" s="1603"/>
      <c r="E49" s="1603"/>
      <c r="F49" s="1036"/>
      <c r="G49" s="1036"/>
      <c r="I49" s="920">
        <v>0</v>
      </c>
      <c r="J49" s="49"/>
      <c r="K49" s="919">
        <v>0</v>
      </c>
      <c r="L49" s="50"/>
      <c r="M49" s="195">
        <f>K49-I49</f>
        <v>0</v>
      </c>
      <c r="N49" s="49"/>
      <c r="O49" s="49"/>
    </row>
    <row r="50" spans="1:15" s="15" customFormat="1" ht="17.7">
      <c r="A50" s="905"/>
      <c r="B50" s="1602"/>
      <c r="C50" s="1602"/>
      <c r="D50" s="1603"/>
      <c r="E50" s="1603"/>
      <c r="F50" s="1036"/>
      <c r="G50" s="1036"/>
      <c r="I50" s="207"/>
      <c r="J50" s="49"/>
      <c r="K50" s="195"/>
      <c r="L50" s="50"/>
      <c r="M50" s="195">
        <f>K50-I50</f>
        <v>0</v>
      </c>
      <c r="N50" s="49"/>
      <c r="O50" s="323">
        <f>SUM(K48+K49)</f>
        <v>250000</v>
      </c>
    </row>
    <row r="51" spans="1:15" s="15" customFormat="1" ht="14.1" customHeight="1">
      <c r="A51" s="21"/>
      <c r="B51" s="1037"/>
      <c r="C51" s="1037"/>
      <c r="D51" s="1037"/>
      <c r="E51" s="1038"/>
      <c r="F51" s="22"/>
      <c r="G51" s="23"/>
      <c r="H51" s="22"/>
      <c r="I51" s="65"/>
      <c r="J51" s="65"/>
      <c r="K51" s="65"/>
      <c r="L51" s="66"/>
      <c r="M51" s="65"/>
      <c r="N51" s="65"/>
      <c r="O51" s="67"/>
    </row>
    <row r="52" spans="1:15" s="15" customFormat="1" ht="17.7">
      <c r="A52" s="19" t="s">
        <v>193</v>
      </c>
      <c r="E52" s="17"/>
      <c r="G52" s="18"/>
      <c r="I52" s="49"/>
      <c r="J52" s="49"/>
      <c r="K52" s="49"/>
      <c r="L52" s="50"/>
      <c r="M52" s="323" t="s">
        <v>194</v>
      </c>
      <c r="N52" s="57"/>
      <c r="O52" s="205">
        <f>SUM(O18+O32+O41+O50,K49:K50)</f>
        <v>1228000</v>
      </c>
    </row>
    <row r="53" spans="1:15" s="15" customFormat="1" ht="17.7">
      <c r="A53" s="138"/>
      <c r="E53" s="17"/>
      <c r="G53" s="18"/>
      <c r="I53" s="49"/>
      <c r="J53" s="49"/>
      <c r="K53" s="49"/>
      <c r="L53" s="50"/>
      <c r="M53" s="323" t="s">
        <v>195</v>
      </c>
      <c r="N53" s="57"/>
      <c r="O53" s="589">
        <f>SUM(I48:I50)</f>
        <v>0</v>
      </c>
    </row>
    <row r="54" spans="1:15" s="15" customFormat="1" ht="17.7">
      <c r="E54" s="17"/>
      <c r="G54" s="18"/>
      <c r="I54" s="49"/>
      <c r="J54" s="49"/>
      <c r="K54" s="49"/>
      <c r="L54" s="50"/>
      <c r="M54" s="323" t="s">
        <v>196</v>
      </c>
      <c r="N54" s="57"/>
      <c r="O54" s="205">
        <f>O52-O53</f>
        <v>1228000</v>
      </c>
    </row>
    <row r="55" spans="1:15" ht="12.95" customHeight="1"/>
    <row r="56" spans="1:15" ht="12.95" customHeight="1"/>
    <row r="57" spans="1:15" ht="12.95" customHeight="1"/>
    <row r="58" spans="1:15" ht="12.95" customHeight="1"/>
    <row r="59" spans="1:15" ht="12.95" customHeight="1"/>
    <row r="60" spans="1:15" ht="12.95" customHeight="1"/>
    <row r="61" spans="1:15" ht="12.95" customHeight="1"/>
    <row r="62" spans="1:15" s="2" customFormat="1" ht="12.95" customHeight="1">
      <c r="E62" s="32"/>
      <c r="G62" s="5"/>
      <c r="L62" s="47"/>
    </row>
    <row r="63" spans="1:15" ht="12.95" customHeight="1"/>
    <row r="64" spans="1:15" ht="12.95" customHeight="1"/>
    <row r="65" spans="15:15">
      <c r="O65" s="1" t="s">
        <v>197</v>
      </c>
    </row>
  </sheetData>
  <mergeCells count="14">
    <mergeCell ref="B50:C50"/>
    <mergeCell ref="D50:E50"/>
    <mergeCell ref="B47:C47"/>
    <mergeCell ref="D47:E47"/>
    <mergeCell ref="B48:C48"/>
    <mergeCell ref="D48:E48"/>
    <mergeCell ref="B49:C49"/>
    <mergeCell ref="D49:E49"/>
    <mergeCell ref="G27:J27"/>
    <mergeCell ref="E1:F1"/>
    <mergeCell ref="E3:K3"/>
    <mergeCell ref="E4:K4"/>
    <mergeCell ref="G21:J21"/>
    <mergeCell ref="G22:J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4999542222357860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887" t="s">
        <v>535</v>
      </c>
      <c r="E1" s="1888"/>
      <c r="F1" s="1888"/>
      <c r="G1" s="1888"/>
      <c r="H1" s="1888"/>
      <c r="I1" s="1888"/>
      <c r="J1" s="1888"/>
      <c r="K1" s="1030" t="s">
        <v>396</v>
      </c>
      <c r="L1" s="1721" t="s">
        <v>397</v>
      </c>
      <c r="M1" s="1721"/>
    </row>
    <row r="2" spans="1:13" ht="24.25">
      <c r="A2" s="296" t="e">
        <f>#REF!</f>
        <v>#REF!</v>
      </c>
      <c r="B2" s="298">
        <f>'Stem Delivery Asset Summary'!K31</f>
        <v>428939.45</v>
      </c>
      <c r="C2" s="297">
        <f>'Stem Delivery Asset Summary'!M30</f>
        <v>499060.55</v>
      </c>
      <c r="D2" s="1889"/>
      <c r="E2" s="1889"/>
      <c r="F2" s="1889"/>
      <c r="G2" s="1889"/>
      <c r="H2" s="1889"/>
      <c r="I2" s="1889"/>
      <c r="J2" s="1889"/>
      <c r="K2" s="1031" t="s">
        <v>160</v>
      </c>
      <c r="L2" s="1721" t="s">
        <v>398</v>
      </c>
      <c r="M2" s="1721"/>
    </row>
    <row r="3" spans="1:13" ht="26.2">
      <c r="A3" s="34"/>
      <c r="B3" s="118"/>
      <c r="C3" s="35"/>
      <c r="D3" s="1890"/>
      <c r="E3" s="1890"/>
      <c r="F3" s="1890"/>
      <c r="G3" s="1890"/>
      <c r="H3" s="1890"/>
      <c r="I3" s="1890"/>
      <c r="J3" s="1890"/>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D3</f>
        <v>0</v>
      </c>
      <c r="K15" s="236">
        <f>D3</f>
        <v>0</v>
      </c>
      <c r="L15" s="236">
        <f>D3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49995422223578601"/>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42" t="s">
        <v>536</v>
      </c>
      <c r="B1" s="1642"/>
      <c r="C1" s="1642"/>
      <c r="D1" s="1642"/>
      <c r="E1" s="1642"/>
      <c r="F1" s="1642"/>
      <c r="G1" s="1642"/>
      <c r="H1" s="1642"/>
      <c r="I1" s="1642"/>
      <c r="J1" s="1642"/>
      <c r="K1" s="1642"/>
      <c r="L1" s="1642"/>
      <c r="M1" s="1642"/>
    </row>
    <row r="2" spans="1:19" ht="26.2">
      <c r="C2" s="1643" t="s">
        <v>239</v>
      </c>
      <c r="D2" s="1644"/>
      <c r="E2" s="1644"/>
      <c r="F2" s="1645"/>
      <c r="G2" s="1646" t="e">
        <f>'[1]Stem Gold Immediate Plan '!I10</f>
        <v>#REF!</v>
      </c>
      <c r="H2" s="1647"/>
      <c r="I2" s="1648"/>
      <c r="J2" s="1649" t="s">
        <v>239</v>
      </c>
      <c r="K2" s="1650"/>
      <c r="L2" s="1112"/>
      <c r="M2" s="1113"/>
    </row>
    <row r="3" spans="1:19" ht="26.2">
      <c r="C3" s="357"/>
      <c r="D3" s="357"/>
      <c r="E3" s="357"/>
      <c r="F3" s="357"/>
      <c r="G3" s="1118"/>
      <c r="H3" s="1118"/>
      <c r="I3" s="1118"/>
      <c r="J3" s="1119"/>
      <c r="K3" s="1119"/>
      <c r="L3" s="1112"/>
      <c r="M3" s="1113"/>
    </row>
    <row r="4" spans="1:19" ht="20.3">
      <c r="A4" s="1651" t="s">
        <v>240</v>
      </c>
      <c r="B4" s="1651"/>
      <c r="C4" s="1651"/>
      <c r="D4" s="1651"/>
      <c r="E4" s="1651"/>
      <c r="F4" s="1651"/>
      <c r="G4" s="1651"/>
      <c r="H4" s="1653"/>
      <c r="I4" s="1653"/>
      <c r="J4" s="1652" t="s">
        <v>241</v>
      </c>
      <c r="K4" s="1652"/>
      <c r="L4" s="1652"/>
      <c r="M4" s="1652"/>
      <c r="N4" s="1652"/>
      <c r="O4" s="1120"/>
    </row>
    <row r="5" spans="1:19" ht="20.3">
      <c r="A5" s="1124" t="s">
        <v>242</v>
      </c>
      <c r="B5" s="1127" t="s">
        <v>243</v>
      </c>
      <c r="C5" s="1128" t="e">
        <f>'[3]Egan Goals '!C5</f>
        <v>#REF!</v>
      </c>
      <c r="D5" s="1632" t="s">
        <v>244</v>
      </c>
      <c r="E5" s="1632"/>
      <c r="F5" s="1632"/>
      <c r="G5" s="1140" t="e">
        <f>C5-G2</f>
        <v>#REF!</v>
      </c>
      <c r="H5" s="1641"/>
      <c r="I5" s="1641"/>
      <c r="J5" s="1631" t="s">
        <v>253</v>
      </c>
      <c r="K5" s="1631"/>
      <c r="L5" s="1130">
        <f>'Alt Cash Flow  Snapshot No Plan'!M49</f>
        <v>0</v>
      </c>
      <c r="M5" s="1123" t="s">
        <v>246</v>
      </c>
      <c r="N5" s="1141" t="e">
        <f>L5-G2</f>
        <v>#REF!</v>
      </c>
      <c r="O5" s="725"/>
      <c r="P5" s="726"/>
      <c r="Q5" s="726"/>
      <c r="R5" s="726"/>
      <c r="S5" s="727"/>
    </row>
    <row r="6" spans="1:19" ht="20.3">
      <c r="H6" s="1653"/>
      <c r="I6" s="1653"/>
      <c r="J6" s="257"/>
      <c r="K6" s="383"/>
      <c r="L6" s="230"/>
      <c r="M6" s="230"/>
      <c r="O6" s="725"/>
      <c r="P6" s="727"/>
      <c r="S6" s="728"/>
    </row>
    <row r="7" spans="1:19" ht="20.3">
      <c r="A7" s="1126" t="s">
        <v>537</v>
      </c>
      <c r="B7" s="1127" t="s">
        <v>243</v>
      </c>
      <c r="C7" s="1128">
        <f>'Alt Cash Flow  Snapshot No Plan'!M35</f>
        <v>43752.147722451831</v>
      </c>
      <c r="D7" s="1634" t="s">
        <v>244</v>
      </c>
      <c r="E7" s="1634"/>
      <c r="F7" s="1634"/>
      <c r="G7" s="1140" t="e">
        <f>C7-G2</f>
        <v>#REF!</v>
      </c>
      <c r="H7" s="1641"/>
      <c r="I7" s="1641"/>
      <c r="J7" s="1622" t="s">
        <v>255</v>
      </c>
      <c r="K7" s="1622"/>
      <c r="L7" s="1128">
        <f>L5</f>
        <v>0</v>
      </c>
      <c r="M7" s="1131" t="s">
        <v>248</v>
      </c>
      <c r="N7" s="1142" t="e">
        <f>L7-G2</f>
        <v>#REF!</v>
      </c>
      <c r="O7" s="724"/>
      <c r="P7" s="728"/>
      <c r="S7" s="728"/>
    </row>
    <row r="8" spans="1:19" ht="20.3">
      <c r="I8" s="1620"/>
      <c r="J8" s="1620"/>
      <c r="K8" s="1114"/>
      <c r="L8" s="1115"/>
      <c r="M8" s="1115"/>
      <c r="O8" s="724"/>
      <c r="P8" s="728"/>
      <c r="Q8" s="723"/>
      <c r="R8" s="724"/>
      <c r="S8" s="728"/>
    </row>
    <row r="9" spans="1:19" ht="20.3">
      <c r="A9" s="1121" t="s">
        <v>538</v>
      </c>
      <c r="B9" s="1127" t="s">
        <v>243</v>
      </c>
      <c r="C9" s="1128">
        <f>'Alt Cash Flow  Snapshot No Plan'!M44</f>
        <v>52287.866604367766</v>
      </c>
      <c r="D9" s="1632" t="s">
        <v>244</v>
      </c>
      <c r="E9" s="1632"/>
      <c r="F9" s="1632"/>
      <c r="G9" s="1140" t="e">
        <f>C9-G2</f>
        <v>#REF!</v>
      </c>
      <c r="H9" s="1641"/>
      <c r="I9" s="1641"/>
      <c r="J9" s="1892"/>
      <c r="K9" s="1892"/>
      <c r="L9" s="1892"/>
      <c r="M9" s="1892"/>
      <c r="N9" s="1893"/>
      <c r="O9" s="724"/>
      <c r="P9" s="728"/>
      <c r="S9" s="728"/>
    </row>
    <row r="10" spans="1:19" ht="20.3">
      <c r="A10" s="1121"/>
      <c r="B10" s="1121"/>
      <c r="C10" s="1121"/>
      <c r="D10" s="1121"/>
      <c r="E10" s="1121"/>
      <c r="F10" s="1121"/>
      <c r="G10" s="1121"/>
      <c r="H10" s="1121"/>
      <c r="I10" s="1121"/>
      <c r="J10" s="1121"/>
      <c r="K10" s="1121"/>
      <c r="L10" s="1121"/>
      <c r="M10" s="1121"/>
      <c r="N10" s="1121"/>
      <c r="O10" s="724"/>
      <c r="P10" s="728"/>
      <c r="S10" s="728"/>
    </row>
    <row r="11" spans="1:19" ht="17.55" customHeight="1">
      <c r="I11" s="1637"/>
      <c r="J11" s="1637"/>
      <c r="K11" s="670"/>
      <c r="L11" s="670"/>
      <c r="M11" s="670"/>
      <c r="O11" s="724"/>
      <c r="P11" s="728"/>
      <c r="S11" s="728"/>
    </row>
    <row r="12" spans="1:19" ht="20.3">
      <c r="A12" s="1638" t="s">
        <v>539</v>
      </c>
      <c r="B12" s="1638"/>
      <c r="C12" s="1638"/>
      <c r="D12" s="1638"/>
      <c r="E12" s="1638"/>
      <c r="F12" s="1638"/>
      <c r="G12" s="1638"/>
      <c r="H12" s="1891"/>
      <c r="I12" s="1891"/>
      <c r="J12" s="1639" t="s">
        <v>540</v>
      </c>
      <c r="K12" s="1639"/>
      <c r="L12" s="1639"/>
      <c r="M12" s="1639"/>
      <c r="N12" s="1639"/>
      <c r="O12" s="724"/>
      <c r="P12" s="728"/>
      <c r="S12" s="728"/>
    </row>
    <row r="13" spans="1:19" ht="21.6" customHeight="1">
      <c r="A13" s="1125" t="s">
        <v>242</v>
      </c>
      <c r="B13" s="1127" t="s">
        <v>243</v>
      </c>
      <c r="C13" s="1128">
        <f>'1111111111111111111111111111111'!M26</f>
        <v>61212</v>
      </c>
      <c r="D13" s="1640" t="s">
        <v>244</v>
      </c>
      <c r="E13" s="1640"/>
      <c r="F13" s="1640"/>
      <c r="G13" s="1153" t="e">
        <f>C13-G2</f>
        <v>#REF!</v>
      </c>
      <c r="H13" s="1891"/>
      <c r="I13" s="1891"/>
      <c r="J13" s="1631" t="s">
        <v>253</v>
      </c>
      <c r="K13" s="1631"/>
      <c r="L13" s="1130">
        <f>'1111111111111111111111111111111'!M54</f>
        <v>61212</v>
      </c>
      <c r="M13" s="1131" t="s">
        <v>246</v>
      </c>
      <c r="N13" s="1142" t="e">
        <f>L13-G2</f>
        <v>#REF!</v>
      </c>
      <c r="O13" s="724"/>
      <c r="P13" s="728"/>
      <c r="S13" s="728"/>
    </row>
    <row r="14" spans="1:19" ht="17.7">
      <c r="H14" s="1891"/>
      <c r="I14" s="1891"/>
      <c r="J14" s="1106"/>
      <c r="K14" s="1106"/>
      <c r="L14" s="1106"/>
      <c r="M14" s="1106"/>
    </row>
    <row r="15" spans="1:19" ht="20.3">
      <c r="A15" s="1134" t="s">
        <v>537</v>
      </c>
      <c r="B15" s="1127" t="s">
        <v>243</v>
      </c>
      <c r="C15" s="1128">
        <f>'1111111111111111111111111111111'!M27</f>
        <v>61212</v>
      </c>
      <c r="D15" s="1627" t="s">
        <v>244</v>
      </c>
      <c r="E15" s="1627"/>
      <c r="F15" s="1627"/>
      <c r="G15" s="1182" t="e">
        <f>C15-G2</f>
        <v>#REF!</v>
      </c>
      <c r="H15" s="1891"/>
      <c r="I15" s="1891"/>
      <c r="J15" s="1622" t="s">
        <v>255</v>
      </c>
      <c r="K15" s="1622"/>
      <c r="L15" s="1128">
        <f>'1111111111111111111111111111111'!M49</f>
        <v>61212</v>
      </c>
      <c r="M15" s="1131" t="s">
        <v>248</v>
      </c>
      <c r="N15" s="1144" t="e">
        <f>L15-G2</f>
        <v>#REF!</v>
      </c>
    </row>
    <row r="16" spans="1:19" ht="20.3">
      <c r="I16" s="236"/>
      <c r="J16" s="1108"/>
      <c r="K16" s="930"/>
      <c r="L16" s="930"/>
      <c r="M16" s="736"/>
    </row>
    <row r="17" spans="1:19" ht="20.3">
      <c r="A17" s="1134" t="s">
        <v>538</v>
      </c>
      <c r="B17" s="1127" t="s">
        <v>243</v>
      </c>
      <c r="C17" s="1128">
        <f>'1111111111111111111111111111111'!M28</f>
        <v>77688</v>
      </c>
      <c r="D17" s="1627" t="s">
        <v>244</v>
      </c>
      <c r="E17" s="1627"/>
      <c r="F17" s="1627"/>
      <c r="G17" s="1182" t="e">
        <f>C17-G2</f>
        <v>#REF!</v>
      </c>
      <c r="H17" s="1864"/>
      <c r="I17" s="1864"/>
      <c r="J17" s="1628"/>
      <c r="K17" s="1628"/>
      <c r="L17" s="1628"/>
      <c r="M17" s="1628"/>
      <c r="N17" s="1628"/>
    </row>
    <row r="18" spans="1:19">
      <c r="A18" s="75"/>
      <c r="B18" s="75"/>
      <c r="C18" s="75"/>
      <c r="D18" s="75"/>
      <c r="E18" s="75"/>
      <c r="F18" s="75"/>
      <c r="G18" s="75"/>
      <c r="H18" s="75"/>
      <c r="I18" s="75"/>
      <c r="J18" s="75"/>
      <c r="K18" s="75"/>
      <c r="L18" s="75"/>
      <c r="M18" s="75"/>
      <c r="N18" s="75"/>
    </row>
    <row r="19" spans="1:19" ht="17.7">
      <c r="I19" s="256"/>
      <c r="J19" s="678"/>
      <c r="K19" s="934"/>
      <c r="L19" s="934"/>
      <c r="M19" s="937"/>
      <c r="O19" s="729"/>
      <c r="P19" s="730"/>
      <c r="Q19" s="723"/>
      <c r="R19" s="723"/>
      <c r="S19" s="730"/>
    </row>
    <row r="20" spans="1:19" ht="20.3">
      <c r="A20" s="1638" t="s">
        <v>256</v>
      </c>
      <c r="B20" s="1638"/>
      <c r="C20" s="1638"/>
      <c r="D20" s="1638"/>
      <c r="E20" s="1638"/>
      <c r="F20" s="1638"/>
      <c r="G20" s="1638"/>
      <c r="I20" s="262"/>
      <c r="J20" s="1639" t="s">
        <v>257</v>
      </c>
      <c r="K20" s="1639"/>
      <c r="L20" s="1639"/>
      <c r="M20" s="1639"/>
      <c r="N20" s="1639"/>
      <c r="O20" s="724"/>
      <c r="P20" s="728"/>
      <c r="S20" s="728"/>
    </row>
    <row r="21" spans="1:19" ht="24.25">
      <c r="A21" s="1122" t="s">
        <v>252</v>
      </c>
      <c r="B21" s="1127" t="s">
        <v>243</v>
      </c>
      <c r="C21" s="1128" t="e">
        <f>'[2]Silver Plan "2" '!M24</f>
        <v>#REF!</v>
      </c>
      <c r="D21" s="1894" t="s">
        <v>244</v>
      </c>
      <c r="E21" s="1894"/>
      <c r="F21" s="1894"/>
      <c r="G21" s="1129" t="e">
        <f>C21-G2</f>
        <v>#REF!</v>
      </c>
      <c r="I21" s="1109"/>
      <c r="J21" s="1631" t="s">
        <v>253</v>
      </c>
      <c r="K21" s="1631"/>
      <c r="L21" s="1130" t="e">
        <f>'[2]Silver Plan "2" '!M49</f>
        <v>#REF!</v>
      </c>
      <c r="M21" s="1131" t="s">
        <v>246</v>
      </c>
      <c r="N21" s="1132" t="e">
        <f>L21-G2</f>
        <v>#REF!</v>
      </c>
      <c r="O21" s="724"/>
      <c r="P21" s="728"/>
    </row>
    <row r="22" spans="1:19" ht="23.6">
      <c r="I22" s="156"/>
      <c r="J22" s="937"/>
      <c r="K22" s="938"/>
      <c r="L22" s="937"/>
      <c r="M22" s="932"/>
      <c r="O22" s="724"/>
      <c r="P22" s="728"/>
    </row>
    <row r="23" spans="1:19" ht="20.3">
      <c r="A23" s="1122" t="s">
        <v>254</v>
      </c>
      <c r="B23" s="1127" t="s">
        <v>243</v>
      </c>
      <c r="C23" s="1128" t="e">
        <f>'[2]Silver Plan "2" '!M34</f>
        <v>#REF!</v>
      </c>
      <c r="D23" s="1894" t="s">
        <v>244</v>
      </c>
      <c r="E23" s="1894"/>
      <c r="F23" s="1894"/>
      <c r="G23" s="1135" t="e">
        <f>C23-G2</f>
        <v>#REF!</v>
      </c>
      <c r="I23" s="153"/>
      <c r="J23" s="1622" t="s">
        <v>255</v>
      </c>
      <c r="K23" s="1622"/>
      <c r="L23" s="1128" t="e">
        <f>'[2]Silver Plan "2" '!M54</f>
        <v>#REF!</v>
      </c>
      <c r="M23" s="1131" t="s">
        <v>248</v>
      </c>
      <c r="N23" s="1132" t="e">
        <f>L23-G2</f>
        <v>#REF!</v>
      </c>
      <c r="O23" s="724"/>
      <c r="P23" s="728"/>
    </row>
    <row r="24" spans="1:19" ht="24.25">
      <c r="I24" s="1107"/>
      <c r="J24" s="1107"/>
      <c r="K24" s="1107"/>
      <c r="L24" s="1107"/>
      <c r="M24" s="1107"/>
      <c r="O24" s="724"/>
      <c r="P24" s="728"/>
    </row>
    <row r="25" spans="1:19" ht="20.3">
      <c r="A25" s="1122" t="s">
        <v>249</v>
      </c>
      <c r="B25" s="1127" t="s">
        <v>243</v>
      </c>
      <c r="C25" s="1028" t="e">
        <f>'[2]Silver Plan "2" '!M44</f>
        <v>#REF!</v>
      </c>
      <c r="D25" s="1894" t="s">
        <v>244</v>
      </c>
      <c r="E25" s="1894"/>
      <c r="F25" s="1894"/>
      <c r="G25" s="1135" t="e">
        <f>C25-G2</f>
        <v>#REF!</v>
      </c>
      <c r="I25" s="1108"/>
      <c r="J25" s="1628"/>
      <c r="K25" s="1628"/>
      <c r="L25" s="1628"/>
      <c r="M25" s="1628"/>
      <c r="N25" s="1628"/>
      <c r="O25" s="724"/>
      <c r="P25" s="728"/>
    </row>
    <row r="26" spans="1:19" ht="17.55" customHeight="1">
      <c r="I26" s="931"/>
      <c r="J26" s="722"/>
      <c r="K26" s="236"/>
      <c r="L26" s="236"/>
      <c r="M26" s="737"/>
      <c r="O26" s="724"/>
      <c r="P26" s="728"/>
    </row>
    <row r="27" spans="1:19" ht="18" customHeight="1">
      <c r="I27" s="932"/>
      <c r="J27" s="933"/>
      <c r="K27" s="935"/>
      <c r="L27" s="936"/>
      <c r="M27" s="738"/>
      <c r="O27" s="724"/>
      <c r="P27" s="728"/>
    </row>
    <row r="28" spans="1:19" ht="18" customHeight="1">
      <c r="I28" s="256"/>
      <c r="J28" s="678"/>
      <c r="K28" s="934"/>
      <c r="L28" s="934"/>
      <c r="M28" s="937"/>
      <c r="O28" s="724"/>
      <c r="P28" s="728"/>
    </row>
    <row r="29" spans="1:19" ht="18" customHeight="1">
      <c r="I29" s="635"/>
      <c r="J29" s="71"/>
      <c r="K29" s="670"/>
      <c r="L29" s="670"/>
      <c r="M29" s="740"/>
      <c r="O29" s="724"/>
      <c r="P29" s="728"/>
    </row>
    <row r="30" spans="1:19" ht="18.649999999999999" customHeight="1">
      <c r="I30" s="1109"/>
      <c r="J30" s="1109"/>
      <c r="K30" s="1109"/>
      <c r="L30" s="1109"/>
      <c r="M30" s="1109"/>
      <c r="O30" s="724"/>
      <c r="P30" s="728"/>
    </row>
    <row r="31" spans="1:19" ht="23.6">
      <c r="I31" s="156"/>
      <c r="J31" s="937"/>
      <c r="K31" s="938"/>
      <c r="L31" s="937"/>
      <c r="M31" s="932"/>
      <c r="N31" s="89"/>
      <c r="O31" s="729"/>
      <c r="P31" s="730"/>
    </row>
    <row r="33" spans="9:13" ht="20.3">
      <c r="I33" s="1624"/>
      <c r="J33" s="1625"/>
      <c r="K33" s="1625"/>
      <c r="L33" s="1625"/>
      <c r="M33" s="1625"/>
    </row>
    <row r="34" spans="9:13" ht="20.3">
      <c r="I34" s="1626"/>
      <c r="J34" s="1626"/>
      <c r="K34" s="1626"/>
      <c r="L34" s="1626"/>
      <c r="M34" s="1626"/>
    </row>
    <row r="36" spans="9:13" ht="18.649999999999999" customHeight="1">
      <c r="I36" s="1620"/>
      <c r="J36" s="1620"/>
      <c r="K36" s="1620"/>
      <c r="L36" s="1620"/>
      <c r="M36" s="1620"/>
    </row>
    <row r="37" spans="9:13" ht="18.649999999999999" customHeight="1">
      <c r="I37" s="383"/>
      <c r="J37" s="383"/>
      <c r="K37" s="701"/>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75"/>
      <c r="J41" s="1575"/>
      <c r="K41" s="1575"/>
      <c r="L41" s="1575"/>
      <c r="M41" s="157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99</v>
      </c>
    </row>
  </sheetData>
  <mergeCells count="44">
    <mergeCell ref="I36:M36"/>
    <mergeCell ref="I41:M41"/>
    <mergeCell ref="D23:F23"/>
    <mergeCell ref="J23:K23"/>
    <mergeCell ref="D25:F25"/>
    <mergeCell ref="J25:N25"/>
    <mergeCell ref="I33:M33"/>
    <mergeCell ref="I34:M34"/>
    <mergeCell ref="D21:F21"/>
    <mergeCell ref="J21:K21"/>
    <mergeCell ref="D13:F13"/>
    <mergeCell ref="H13:I13"/>
    <mergeCell ref="J13:K13"/>
    <mergeCell ref="H14:I14"/>
    <mergeCell ref="D15:F15"/>
    <mergeCell ref="H15:I15"/>
    <mergeCell ref="J15:K15"/>
    <mergeCell ref="D17:F17"/>
    <mergeCell ref="H17:I17"/>
    <mergeCell ref="J17:N17"/>
    <mergeCell ref="A20:G20"/>
    <mergeCell ref="J20:N20"/>
    <mergeCell ref="A12:G12"/>
    <mergeCell ref="H12:I12"/>
    <mergeCell ref="J12:N12"/>
    <mergeCell ref="D5:F5"/>
    <mergeCell ref="H5:I5"/>
    <mergeCell ref="J5:K5"/>
    <mergeCell ref="H6:I6"/>
    <mergeCell ref="D7:F7"/>
    <mergeCell ref="H7:I7"/>
    <mergeCell ref="J7:K7"/>
    <mergeCell ref="I8:J8"/>
    <mergeCell ref="D9:F9"/>
    <mergeCell ref="H9:I9"/>
    <mergeCell ref="J9:N9"/>
    <mergeCell ref="I11:J11"/>
    <mergeCell ref="A1:M1"/>
    <mergeCell ref="C2:F2"/>
    <mergeCell ref="G2:I2"/>
    <mergeCell ref="J2:K2"/>
    <mergeCell ref="A4:G4"/>
    <mergeCell ref="H4:I4"/>
    <mergeCell ref="J4:N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516</v>
      </c>
      <c r="B1" s="1564"/>
      <c r="C1" s="1564"/>
      <c r="D1" s="1565"/>
      <c r="E1" s="1018" t="s">
        <v>42</v>
      </c>
      <c r="F1" s="1566" t="s">
        <v>517</v>
      </c>
      <c r="G1" s="1567"/>
      <c r="H1" s="1568"/>
      <c r="I1" s="1018" t="s">
        <v>44</v>
      </c>
      <c r="J1" s="1859" t="s">
        <v>518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21199</v>
      </c>
      <c r="G3" s="1008">
        <v>64</v>
      </c>
      <c r="H3" s="1012" t="s">
        <v>411</v>
      </c>
      <c r="I3" s="1008">
        <v>67</v>
      </c>
      <c r="J3" s="1016">
        <f>I3-G3</f>
        <v>3</v>
      </c>
      <c r="K3" s="1033" t="s">
        <v>47</v>
      </c>
      <c r="L3" s="192"/>
      <c r="Q3" s="89"/>
    </row>
    <row r="4" spans="1:17" ht="17.7">
      <c r="C4" s="1173">
        <f ca="1">TODAY()</f>
        <v>46198</v>
      </c>
      <c r="E4" s="1065" t="s">
        <v>374</v>
      </c>
      <c r="F4" s="1007">
        <v>21833</v>
      </c>
      <c r="G4" s="1008">
        <v>62</v>
      </c>
      <c r="H4" s="1065" t="s">
        <v>373</v>
      </c>
      <c r="I4" s="1008">
        <v>67</v>
      </c>
      <c r="J4" s="971">
        <f>I4-G4</f>
        <v>5</v>
      </c>
      <c r="K4" s="1065" t="s">
        <v>47</v>
      </c>
    </row>
    <row r="5" spans="1:17" s="89" customFormat="1" ht="20.3">
      <c r="B5" s="208"/>
      <c r="C5" s="970">
        <v>2020</v>
      </c>
      <c r="D5" s="192"/>
      <c r="E5" s="925"/>
      <c r="F5" s="925"/>
      <c r="G5" s="192"/>
      <c r="H5" s="192"/>
      <c r="I5" s="969"/>
      <c r="J5" s="192"/>
      <c r="K5" s="192"/>
      <c r="L5" s="969"/>
      <c r="M5" s="371"/>
      <c r="N5" s="192"/>
    </row>
    <row r="6" spans="1:17" s="89" customFormat="1" ht="17.7">
      <c r="A6" s="1788" t="s">
        <v>375</v>
      </c>
      <c r="B6" s="1789"/>
      <c r="C6" s="1790"/>
      <c r="D6" s="1009">
        <v>5416.67</v>
      </c>
      <c r="E6" s="1791" t="s">
        <v>376</v>
      </c>
      <c r="F6" s="1741"/>
      <c r="G6" s="968" t="s">
        <v>377</v>
      </c>
      <c r="H6" s="968" t="s">
        <v>377</v>
      </c>
      <c r="J6" s="968" t="s">
        <v>377</v>
      </c>
      <c r="K6" s="974"/>
      <c r="N6" s="16"/>
      <c r="O6" s="16"/>
    </row>
    <row r="7" spans="1:17" s="89" customFormat="1" ht="17.7">
      <c r="A7" s="1854" t="s">
        <v>378</v>
      </c>
      <c r="B7" s="1855"/>
      <c r="C7" s="1856"/>
      <c r="D7" s="1009">
        <v>0</v>
      </c>
      <c r="E7" s="1857" t="s">
        <v>379</v>
      </c>
      <c r="F7" s="1858"/>
      <c r="G7" s="968" t="s">
        <v>519</v>
      </c>
      <c r="H7" s="968" t="s">
        <v>519</v>
      </c>
      <c r="I7" s="1015">
        <f>D6+D7</f>
        <v>5416.67</v>
      </c>
      <c r="J7" s="968" t="s">
        <v>380</v>
      </c>
      <c r="K7" s="972">
        <f>I7*12</f>
        <v>65000.04</v>
      </c>
      <c r="O7" s="16"/>
    </row>
    <row r="10" spans="1:17" ht="17.7">
      <c r="A10" s="1524" t="s">
        <v>50</v>
      </c>
      <c r="B10" s="1524"/>
      <c r="C10" s="1524"/>
      <c r="D10" s="1524"/>
      <c r="E10" s="1010">
        <v>5833</v>
      </c>
      <c r="F10" s="966">
        <f>E10*12</f>
        <v>69996</v>
      </c>
      <c r="G10" s="192"/>
      <c r="H10" s="192"/>
      <c r="I10" s="973">
        <f>F10*1.25</f>
        <v>87495</v>
      </c>
      <c r="J10" s="1734" t="s">
        <v>520</v>
      </c>
      <c r="K10" s="1734"/>
      <c r="L10" s="1734"/>
      <c r="M10" s="1734"/>
      <c r="N10" s="1734"/>
      <c r="O10" s="16"/>
    </row>
    <row r="11" spans="1:17" s="89" customFormat="1" ht="20.3">
      <c r="B11" s="208"/>
      <c r="C11" s="970"/>
      <c r="D11" s="192"/>
      <c r="E11" s="925"/>
      <c r="F11" s="925"/>
      <c r="G11" s="192"/>
      <c r="H11" s="192"/>
      <c r="I11" s="969"/>
      <c r="J11" s="192"/>
      <c r="K11" s="192"/>
      <c r="L11" s="969"/>
      <c r="M11" s="371"/>
      <c r="N11" s="192"/>
    </row>
    <row r="12" spans="1:17" ht="18" customHeight="1">
      <c r="A12" s="1742" t="s">
        <v>383</v>
      </c>
      <c r="B12" s="1743"/>
      <c r="C12" s="1744"/>
      <c r="D12" s="1010">
        <v>2746</v>
      </c>
      <c r="E12" s="1013" t="s">
        <v>12</v>
      </c>
      <c r="F12" s="1011">
        <v>67</v>
      </c>
      <c r="G12" s="1745" t="s">
        <v>54</v>
      </c>
      <c r="H12" s="1746"/>
      <c r="I12" s="1021">
        <f>D12*12</f>
        <v>32952</v>
      </c>
      <c r="J12" s="1553" t="s">
        <v>55</v>
      </c>
      <c r="K12" s="1553"/>
      <c r="L12" s="1553"/>
      <c r="M12" s="1553"/>
      <c r="N12" s="1553"/>
      <c r="O12" s="1553"/>
    </row>
    <row r="13" spans="1:17" ht="17.7">
      <c r="A13" s="1866" t="s">
        <v>521</v>
      </c>
      <c r="B13" s="1867"/>
      <c r="C13" s="1868"/>
      <c r="D13" s="1010">
        <v>1373</v>
      </c>
      <c r="E13" s="1066" t="s">
        <v>12</v>
      </c>
      <c r="F13" s="1011">
        <v>67</v>
      </c>
      <c r="G13" s="1869" t="s">
        <v>54</v>
      </c>
      <c r="H13" s="1870"/>
      <c r="I13" s="973">
        <f>D13*12</f>
        <v>16476</v>
      </c>
      <c r="J13" s="1552" t="s">
        <v>522</v>
      </c>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871" t="s">
        <v>541</v>
      </c>
      <c r="B15" s="1871"/>
      <c r="C15" s="1871"/>
      <c r="D15" s="1871"/>
      <c r="E15" s="1871"/>
      <c r="F15" s="1871"/>
      <c r="G15" s="1871"/>
      <c r="H15" s="1871"/>
      <c r="I15" s="1871"/>
      <c r="J15" s="1871"/>
      <c r="K15" s="1871"/>
      <c r="L15" s="1871"/>
      <c r="M15" s="1871"/>
      <c r="N15" s="1871"/>
      <c r="O15" s="1872"/>
    </row>
    <row r="16" spans="1:17" ht="23.6">
      <c r="A16" s="1543" t="s">
        <v>57</v>
      </c>
      <c r="B16" s="1544"/>
      <c r="C16" s="1544"/>
      <c r="D16" s="1544"/>
      <c r="E16" s="1544"/>
      <c r="F16" s="1544"/>
      <c r="G16" s="1544"/>
      <c r="H16" s="1544"/>
      <c r="I16" s="1544"/>
      <c r="J16" s="1544"/>
      <c r="K16" s="1544"/>
      <c r="L16" s="1544"/>
      <c r="M16" s="1544"/>
      <c r="N16" s="1544"/>
      <c r="O16" s="1545"/>
      <c r="P16" s="89"/>
    </row>
    <row r="17" spans="1:23" s="37" customFormat="1" ht="100" customHeight="1">
      <c r="A17" s="1110"/>
      <c r="B17" s="1110"/>
      <c r="C17" s="1110"/>
      <c r="D17" s="1027" t="s">
        <v>413</v>
      </c>
      <c r="E17" s="1046" t="s">
        <v>524</v>
      </c>
      <c r="F17" s="36"/>
      <c r="G17" s="1186" t="s">
        <v>542</v>
      </c>
      <c r="H17" s="1186" t="s">
        <v>543</v>
      </c>
      <c r="I17" s="1186" t="s">
        <v>543</v>
      </c>
      <c r="J17" s="1186" t="s">
        <v>526</v>
      </c>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149"/>
      <c r="G19" s="1187">
        <v>1</v>
      </c>
      <c r="H19" s="1187">
        <v>1</v>
      </c>
      <c r="I19" s="1187">
        <v>1</v>
      </c>
      <c r="J19" s="1187">
        <v>1</v>
      </c>
      <c r="K19" s="1154"/>
      <c r="L19" s="1154"/>
      <c r="M19" s="992"/>
      <c r="N19" s="992"/>
      <c r="O19" s="993"/>
    </row>
    <row r="20" spans="1:23">
      <c r="A20" s="1860"/>
      <c r="B20" s="1860"/>
      <c r="C20" s="1861"/>
      <c r="D20" s="976">
        <f>F12</f>
        <v>67</v>
      </c>
      <c r="E20" s="976">
        <f>F13</f>
        <v>67</v>
      </c>
      <c r="F20" s="1105"/>
      <c r="G20" s="1188">
        <v>67</v>
      </c>
      <c r="H20" s="1188">
        <v>67</v>
      </c>
      <c r="I20" s="1188">
        <v>67</v>
      </c>
      <c r="J20" s="1188">
        <v>67</v>
      </c>
      <c r="K20" s="1105"/>
      <c r="L20" s="1105"/>
      <c r="M20" s="990"/>
      <c r="N20" s="989"/>
      <c r="O20" s="994"/>
    </row>
    <row r="21" spans="1:23" ht="16.05" customHeight="1">
      <c r="A21" s="1749" t="s">
        <v>26</v>
      </c>
      <c r="B21" s="1813" t="s">
        <v>390</v>
      </c>
      <c r="C21" s="1862" t="s">
        <v>58</v>
      </c>
      <c r="D21" s="975">
        <f>I12</f>
        <v>32952</v>
      </c>
      <c r="E21" s="975">
        <f>I13</f>
        <v>16476</v>
      </c>
      <c r="F21" s="975"/>
      <c r="G21" s="1189">
        <v>149072</v>
      </c>
      <c r="H21" s="1189">
        <v>133100</v>
      </c>
      <c r="I21" s="1189">
        <v>133100</v>
      </c>
      <c r="J21" s="1189">
        <v>133100</v>
      </c>
      <c r="K21" s="975"/>
      <c r="L21" s="975"/>
      <c r="M21" s="990"/>
      <c r="N21" s="989"/>
      <c r="O21" s="994"/>
    </row>
    <row r="22" spans="1:23" ht="16.05" customHeight="1">
      <c r="A22" s="1750"/>
      <c r="B22" s="1814"/>
      <c r="C22" s="1863"/>
      <c r="D22" s="1864"/>
      <c r="E22" s="1864"/>
      <c r="F22" s="1864"/>
      <c r="G22" s="1864"/>
      <c r="H22" s="1864"/>
      <c r="I22" s="1864"/>
      <c r="J22" s="1864"/>
      <c r="K22" s="1864"/>
      <c r="L22" s="1865"/>
      <c r="M22" s="991"/>
      <c r="N22" s="208"/>
      <c r="O22" s="995"/>
    </row>
    <row r="23" spans="1:23" ht="14.4">
      <c r="A23" s="979" t="s">
        <v>527</v>
      </c>
      <c r="B23" s="1051">
        <f>G3</f>
        <v>64</v>
      </c>
      <c r="C23" s="1057">
        <f>G4</f>
        <v>62</v>
      </c>
      <c r="D23" s="982">
        <v>0</v>
      </c>
      <c r="E23" s="982">
        <v>0</v>
      </c>
      <c r="F23" s="982">
        <v>0</v>
      </c>
      <c r="G23" s="982">
        <v>0</v>
      </c>
      <c r="H23" s="982">
        <v>0</v>
      </c>
      <c r="I23" s="982">
        <v>0</v>
      </c>
      <c r="J23" s="982">
        <v>0</v>
      </c>
      <c r="K23" s="982">
        <v>0</v>
      </c>
      <c r="L23" s="982">
        <v>0</v>
      </c>
      <c r="M23" s="980">
        <f>D23+E23+F23+G23+H23+I23+J23+K23+L23</f>
        <v>0</v>
      </c>
      <c r="N23" s="967">
        <f>I10</f>
        <v>87495</v>
      </c>
      <c r="O23" s="977">
        <f>M23-N24</f>
        <v>-87495</v>
      </c>
    </row>
    <row r="24" spans="1:23" ht="14.4">
      <c r="A24" s="119">
        <f t="shared" ref="A24:C39" si="0">A23+1</f>
        <v>2023</v>
      </c>
      <c r="B24" s="1052">
        <f t="shared" si="0"/>
        <v>65</v>
      </c>
      <c r="C24" s="1058">
        <f t="shared" si="0"/>
        <v>63</v>
      </c>
      <c r="D24" s="982">
        <v>0</v>
      </c>
      <c r="E24" s="982">
        <v>0</v>
      </c>
      <c r="F24" s="982">
        <v>0</v>
      </c>
      <c r="G24" s="982">
        <v>0</v>
      </c>
      <c r="H24" s="982">
        <v>0</v>
      </c>
      <c r="I24" s="982">
        <v>0</v>
      </c>
      <c r="J24" s="982">
        <v>0</v>
      </c>
      <c r="K24" s="982">
        <v>0</v>
      </c>
      <c r="L24" s="982">
        <v>0</v>
      </c>
      <c r="M24" s="980">
        <f t="shared" ref="M24:M40" si="1">D24+E24+F24+G24+H24+I24+J24+K24+L24</f>
        <v>0</v>
      </c>
      <c r="N24" s="967">
        <f>I10</f>
        <v>87495</v>
      </c>
      <c r="O24" s="977">
        <f t="shared" ref="O24:O51" si="2">M24-N25</f>
        <v>-87495</v>
      </c>
    </row>
    <row r="25" spans="1:23" ht="14.4">
      <c r="A25" s="155">
        <f t="shared" si="0"/>
        <v>2024</v>
      </c>
      <c r="B25" s="1053">
        <f t="shared" si="0"/>
        <v>66</v>
      </c>
      <c r="C25" s="1057">
        <f t="shared" si="0"/>
        <v>64</v>
      </c>
      <c r="D25" s="982">
        <v>0</v>
      </c>
      <c r="E25" s="982">
        <v>0</v>
      </c>
      <c r="F25" s="982">
        <v>0</v>
      </c>
      <c r="G25" s="982">
        <v>0</v>
      </c>
      <c r="H25" s="982">
        <v>0</v>
      </c>
      <c r="I25" s="982">
        <v>0</v>
      </c>
      <c r="J25" s="982">
        <v>0</v>
      </c>
      <c r="K25" s="982">
        <v>0</v>
      </c>
      <c r="L25" s="982">
        <v>0</v>
      </c>
      <c r="M25" s="980">
        <f t="shared" si="1"/>
        <v>0</v>
      </c>
      <c r="N25" s="967">
        <f>I10</f>
        <v>87495</v>
      </c>
      <c r="O25" s="977">
        <f t="shared" si="2"/>
        <v>-87495</v>
      </c>
    </row>
    <row r="26" spans="1:23" ht="14.4">
      <c r="A26" s="119">
        <f t="shared" si="0"/>
        <v>2025</v>
      </c>
      <c r="B26" s="1054">
        <f t="shared" si="0"/>
        <v>67</v>
      </c>
      <c r="C26" s="1059">
        <f t="shared" si="0"/>
        <v>65</v>
      </c>
      <c r="D26" s="1026">
        <v>32952</v>
      </c>
      <c r="E26" s="982">
        <v>0</v>
      </c>
      <c r="F26" s="982">
        <v>0</v>
      </c>
      <c r="G26" s="719">
        <v>7379</v>
      </c>
      <c r="H26" s="719">
        <v>6588</v>
      </c>
      <c r="I26" s="719">
        <v>6588</v>
      </c>
      <c r="J26" s="719">
        <v>6588</v>
      </c>
      <c r="K26" s="982">
        <v>0</v>
      </c>
      <c r="L26" s="982">
        <v>0</v>
      </c>
      <c r="M26" s="980">
        <f t="shared" si="1"/>
        <v>60095</v>
      </c>
      <c r="N26" s="967">
        <f>I10</f>
        <v>87495</v>
      </c>
      <c r="O26" s="977">
        <f t="shared" si="2"/>
        <v>-27400</v>
      </c>
    </row>
    <row r="27" spans="1:23" ht="14.4">
      <c r="A27" s="119">
        <f t="shared" si="0"/>
        <v>2026</v>
      </c>
      <c r="B27" s="1053">
        <f t="shared" si="0"/>
        <v>68</v>
      </c>
      <c r="C27" s="1057">
        <f t="shared" si="0"/>
        <v>66</v>
      </c>
      <c r="D27" s="1026">
        <v>32952</v>
      </c>
      <c r="E27" s="982">
        <v>0</v>
      </c>
      <c r="F27" s="982">
        <v>0</v>
      </c>
      <c r="G27" s="719">
        <v>7379</v>
      </c>
      <c r="H27" s="719">
        <v>6588</v>
      </c>
      <c r="I27" s="719">
        <v>6588</v>
      </c>
      <c r="J27" s="719">
        <v>6588</v>
      </c>
      <c r="K27" s="982">
        <v>0</v>
      </c>
      <c r="L27" s="982">
        <v>0</v>
      </c>
      <c r="M27" s="980">
        <f t="shared" si="1"/>
        <v>60095</v>
      </c>
      <c r="N27" s="967">
        <f>I10</f>
        <v>87495</v>
      </c>
      <c r="O27" s="977">
        <f t="shared" si="2"/>
        <v>-27400</v>
      </c>
    </row>
    <row r="28" spans="1:23" ht="14.4">
      <c r="A28" s="119">
        <f t="shared" si="0"/>
        <v>2027</v>
      </c>
      <c r="B28" s="1052">
        <f t="shared" si="0"/>
        <v>69</v>
      </c>
      <c r="C28" s="1060">
        <f t="shared" si="0"/>
        <v>67</v>
      </c>
      <c r="D28" s="1026">
        <v>32952</v>
      </c>
      <c r="E28" s="1025">
        <v>16476</v>
      </c>
      <c r="F28" s="982">
        <v>0</v>
      </c>
      <c r="G28" s="719">
        <v>7379</v>
      </c>
      <c r="H28" s="719">
        <v>6588</v>
      </c>
      <c r="I28" s="719">
        <v>6588</v>
      </c>
      <c r="J28" s="719">
        <v>6588</v>
      </c>
      <c r="K28" s="982">
        <v>0</v>
      </c>
      <c r="L28" s="982">
        <v>0</v>
      </c>
      <c r="M28" s="980">
        <f t="shared" si="1"/>
        <v>76571</v>
      </c>
      <c r="N28" s="967">
        <f>I10</f>
        <v>87495</v>
      </c>
      <c r="O28" s="977">
        <f t="shared" si="2"/>
        <v>-10924</v>
      </c>
    </row>
    <row r="29" spans="1:23" ht="14.4">
      <c r="A29" s="155">
        <f t="shared" si="0"/>
        <v>2028</v>
      </c>
      <c r="B29" s="1053">
        <f t="shared" si="0"/>
        <v>70</v>
      </c>
      <c r="C29" s="1057">
        <f t="shared" si="0"/>
        <v>68</v>
      </c>
      <c r="D29" s="1026">
        <v>32952</v>
      </c>
      <c r="E29" s="1025">
        <v>16476</v>
      </c>
      <c r="F29" s="982">
        <v>0</v>
      </c>
      <c r="G29" s="719">
        <v>7379</v>
      </c>
      <c r="H29" s="719">
        <v>6588</v>
      </c>
      <c r="I29" s="719">
        <v>6588</v>
      </c>
      <c r="J29" s="719">
        <v>6588</v>
      </c>
      <c r="K29" s="982">
        <v>0</v>
      </c>
      <c r="L29" s="982">
        <v>0</v>
      </c>
      <c r="M29" s="980">
        <f t="shared" si="1"/>
        <v>76571</v>
      </c>
      <c r="N29" s="967">
        <f>I10</f>
        <v>87495</v>
      </c>
      <c r="O29" s="977">
        <f t="shared" si="2"/>
        <v>-10924</v>
      </c>
    </row>
    <row r="30" spans="1:23" ht="14.4">
      <c r="A30" s="119">
        <f t="shared" si="0"/>
        <v>2029</v>
      </c>
      <c r="B30" s="1054">
        <f t="shared" si="0"/>
        <v>71</v>
      </c>
      <c r="C30" s="1059">
        <f t="shared" si="0"/>
        <v>69</v>
      </c>
      <c r="D30" s="1026">
        <v>32952</v>
      </c>
      <c r="E30" s="1025">
        <v>16476</v>
      </c>
      <c r="F30" s="982">
        <v>0</v>
      </c>
      <c r="G30" s="719">
        <v>7379</v>
      </c>
      <c r="H30" s="719">
        <v>6588</v>
      </c>
      <c r="I30" s="719">
        <v>6588</v>
      </c>
      <c r="J30" s="719">
        <v>6588</v>
      </c>
      <c r="K30" s="982">
        <v>0</v>
      </c>
      <c r="L30" s="982">
        <v>0</v>
      </c>
      <c r="M30" s="980">
        <f t="shared" si="1"/>
        <v>76571</v>
      </c>
      <c r="N30" s="967">
        <f>I10</f>
        <v>87495</v>
      </c>
      <c r="O30" s="977">
        <f t="shared" si="2"/>
        <v>-10924</v>
      </c>
    </row>
    <row r="31" spans="1:23" ht="14.4">
      <c r="A31" s="119">
        <f t="shared" si="0"/>
        <v>2030</v>
      </c>
      <c r="B31" s="1053">
        <f t="shared" si="0"/>
        <v>72</v>
      </c>
      <c r="C31" s="1057">
        <f t="shared" si="0"/>
        <v>70</v>
      </c>
      <c r="D31" s="1026">
        <v>32952</v>
      </c>
      <c r="E31" s="1025">
        <v>16476</v>
      </c>
      <c r="F31" s="982">
        <v>0</v>
      </c>
      <c r="G31" s="719">
        <v>7379</v>
      </c>
      <c r="H31" s="719">
        <v>6588</v>
      </c>
      <c r="I31" s="719">
        <v>6588</v>
      </c>
      <c r="J31" s="719">
        <v>6588</v>
      </c>
      <c r="K31" s="982">
        <v>0</v>
      </c>
      <c r="L31" s="982">
        <v>0</v>
      </c>
      <c r="M31" s="980">
        <f t="shared" si="1"/>
        <v>76571</v>
      </c>
      <c r="N31" s="967">
        <f>I10</f>
        <v>87495</v>
      </c>
      <c r="O31" s="977">
        <f t="shared" si="2"/>
        <v>-10924</v>
      </c>
    </row>
    <row r="32" spans="1:23" ht="14.4">
      <c r="A32" s="119">
        <f t="shared" si="0"/>
        <v>2031</v>
      </c>
      <c r="B32" s="1053">
        <f t="shared" si="0"/>
        <v>73</v>
      </c>
      <c r="C32" s="1057">
        <f t="shared" si="0"/>
        <v>71</v>
      </c>
      <c r="D32" s="1026">
        <v>32952</v>
      </c>
      <c r="E32" s="1025">
        <v>16476</v>
      </c>
      <c r="F32" s="982">
        <v>0</v>
      </c>
      <c r="G32" s="719">
        <v>7379</v>
      </c>
      <c r="H32" s="719">
        <v>6588</v>
      </c>
      <c r="I32" s="719">
        <v>6588</v>
      </c>
      <c r="J32" s="719">
        <v>6588</v>
      </c>
      <c r="K32" s="982">
        <v>0</v>
      </c>
      <c r="L32" s="982">
        <v>0</v>
      </c>
      <c r="M32" s="980">
        <f t="shared" si="1"/>
        <v>76571</v>
      </c>
      <c r="N32" s="967">
        <f>I10</f>
        <v>87495</v>
      </c>
      <c r="O32" s="977">
        <f t="shared" si="2"/>
        <v>-10924</v>
      </c>
    </row>
    <row r="33" spans="1:15" ht="14.4">
      <c r="A33" s="119">
        <f t="shared" si="0"/>
        <v>2032</v>
      </c>
      <c r="B33" s="1053">
        <f t="shared" si="0"/>
        <v>74</v>
      </c>
      <c r="C33" s="1057">
        <f t="shared" si="0"/>
        <v>72</v>
      </c>
      <c r="D33" s="1026">
        <v>32952</v>
      </c>
      <c r="E33" s="1025">
        <v>16476</v>
      </c>
      <c r="F33" s="982">
        <v>0</v>
      </c>
      <c r="G33" s="719">
        <v>7379</v>
      </c>
      <c r="H33" s="719">
        <v>6588</v>
      </c>
      <c r="I33" s="719">
        <v>6588</v>
      </c>
      <c r="J33" s="719">
        <v>6588</v>
      </c>
      <c r="K33" s="982">
        <v>0</v>
      </c>
      <c r="L33" s="982">
        <v>0</v>
      </c>
      <c r="M33" s="980">
        <f t="shared" si="1"/>
        <v>76571</v>
      </c>
      <c r="N33" s="967">
        <f>I10</f>
        <v>87495</v>
      </c>
      <c r="O33" s="977">
        <f t="shared" si="2"/>
        <v>-10924</v>
      </c>
    </row>
    <row r="34" spans="1:15" ht="14.4">
      <c r="A34" s="119">
        <f t="shared" si="0"/>
        <v>2033</v>
      </c>
      <c r="B34" s="1053">
        <f t="shared" si="0"/>
        <v>75</v>
      </c>
      <c r="C34" s="1057">
        <f t="shared" si="0"/>
        <v>73</v>
      </c>
      <c r="D34" s="1026">
        <v>32952</v>
      </c>
      <c r="E34" s="1025">
        <v>16476</v>
      </c>
      <c r="F34" s="982">
        <v>0</v>
      </c>
      <c r="G34" s="719">
        <v>7379</v>
      </c>
      <c r="H34" s="719">
        <v>6588</v>
      </c>
      <c r="I34" s="719">
        <v>6588</v>
      </c>
      <c r="J34" s="719">
        <v>6588</v>
      </c>
      <c r="K34" s="982">
        <v>0</v>
      </c>
      <c r="L34" s="982">
        <v>0</v>
      </c>
      <c r="M34" s="980">
        <f t="shared" si="1"/>
        <v>76571</v>
      </c>
      <c r="N34" s="967">
        <f>I10</f>
        <v>87495</v>
      </c>
      <c r="O34" s="977">
        <f t="shared" si="2"/>
        <v>-10924</v>
      </c>
    </row>
    <row r="35" spans="1:15" ht="14.4">
      <c r="A35" s="119">
        <f t="shared" si="0"/>
        <v>2034</v>
      </c>
      <c r="B35" s="1053">
        <f t="shared" si="0"/>
        <v>76</v>
      </c>
      <c r="C35" s="1057">
        <f t="shared" si="0"/>
        <v>74</v>
      </c>
      <c r="D35" s="1026">
        <v>32952</v>
      </c>
      <c r="E35" s="1025">
        <v>16476</v>
      </c>
      <c r="F35" s="982">
        <v>0</v>
      </c>
      <c r="G35" s="719">
        <v>7379</v>
      </c>
      <c r="H35" s="719">
        <v>6588</v>
      </c>
      <c r="I35" s="719">
        <v>6588</v>
      </c>
      <c r="J35" s="719">
        <v>6588</v>
      </c>
      <c r="K35" s="982">
        <v>0</v>
      </c>
      <c r="L35" s="982">
        <v>0</v>
      </c>
      <c r="M35" s="980">
        <f t="shared" si="1"/>
        <v>76571</v>
      </c>
      <c r="N35" s="967">
        <f>I10</f>
        <v>87495</v>
      </c>
      <c r="O35" s="977">
        <f t="shared" si="2"/>
        <v>-10924</v>
      </c>
    </row>
    <row r="36" spans="1:15" ht="14.4">
      <c r="A36" s="119">
        <f t="shared" si="0"/>
        <v>2035</v>
      </c>
      <c r="B36" s="1053">
        <f t="shared" si="0"/>
        <v>77</v>
      </c>
      <c r="C36" s="1057">
        <f t="shared" si="0"/>
        <v>75</v>
      </c>
      <c r="D36" s="1026">
        <v>32952</v>
      </c>
      <c r="E36" s="1025">
        <v>16476</v>
      </c>
      <c r="F36" s="982">
        <v>0</v>
      </c>
      <c r="G36" s="719">
        <v>7379</v>
      </c>
      <c r="H36" s="719">
        <v>6588</v>
      </c>
      <c r="I36" s="719">
        <v>6588</v>
      </c>
      <c r="J36" s="719">
        <v>6588</v>
      </c>
      <c r="K36" s="982">
        <v>0</v>
      </c>
      <c r="L36" s="982">
        <v>0</v>
      </c>
      <c r="M36" s="980">
        <f t="shared" si="1"/>
        <v>76571</v>
      </c>
      <c r="N36" s="967">
        <f>I10</f>
        <v>87495</v>
      </c>
      <c r="O36" s="977">
        <f t="shared" si="2"/>
        <v>-10924</v>
      </c>
    </row>
    <row r="37" spans="1:15" ht="14.4">
      <c r="A37" s="119">
        <f t="shared" si="0"/>
        <v>2036</v>
      </c>
      <c r="B37" s="1053">
        <f t="shared" si="0"/>
        <v>78</v>
      </c>
      <c r="C37" s="1057">
        <f t="shared" si="0"/>
        <v>76</v>
      </c>
      <c r="D37" s="1026">
        <v>32952</v>
      </c>
      <c r="E37" s="1025">
        <v>16476</v>
      </c>
      <c r="F37" s="982">
        <v>0</v>
      </c>
      <c r="G37" s="719">
        <v>7379</v>
      </c>
      <c r="H37" s="719">
        <v>6588</v>
      </c>
      <c r="I37" s="719">
        <v>6588</v>
      </c>
      <c r="J37" s="719">
        <v>6588</v>
      </c>
      <c r="K37" s="982">
        <v>0</v>
      </c>
      <c r="L37" s="982">
        <v>0</v>
      </c>
      <c r="M37" s="980">
        <f t="shared" si="1"/>
        <v>76571</v>
      </c>
      <c r="N37" s="967">
        <f>I10</f>
        <v>87495</v>
      </c>
      <c r="O37" s="977">
        <f t="shared" si="2"/>
        <v>-10924</v>
      </c>
    </row>
    <row r="38" spans="1:15" ht="14.4">
      <c r="A38" s="155">
        <f t="shared" si="0"/>
        <v>2037</v>
      </c>
      <c r="B38" s="1053">
        <f t="shared" si="0"/>
        <v>79</v>
      </c>
      <c r="C38" s="1061">
        <f t="shared" si="0"/>
        <v>77</v>
      </c>
      <c r="D38" s="1026">
        <v>32952</v>
      </c>
      <c r="E38" s="1025">
        <v>16476</v>
      </c>
      <c r="F38" s="982">
        <v>0</v>
      </c>
      <c r="G38" s="719">
        <v>7379</v>
      </c>
      <c r="H38" s="719">
        <v>6588</v>
      </c>
      <c r="I38" s="719">
        <v>6588</v>
      </c>
      <c r="J38" s="719">
        <v>6588</v>
      </c>
      <c r="K38" s="982">
        <v>0</v>
      </c>
      <c r="L38" s="982">
        <v>0</v>
      </c>
      <c r="M38" s="980">
        <f t="shared" si="1"/>
        <v>76571</v>
      </c>
      <c r="N38" s="967">
        <f>I10</f>
        <v>87495</v>
      </c>
      <c r="O38" s="977">
        <f t="shared" si="2"/>
        <v>-10924</v>
      </c>
    </row>
    <row r="39" spans="1:15" ht="14.4">
      <c r="A39" s="119">
        <f t="shared" si="0"/>
        <v>2038</v>
      </c>
      <c r="B39" s="1054">
        <f t="shared" si="0"/>
        <v>80</v>
      </c>
      <c r="C39" s="1057">
        <f t="shared" si="0"/>
        <v>78</v>
      </c>
      <c r="D39" s="1026">
        <v>32952</v>
      </c>
      <c r="E39" s="1025">
        <v>16476</v>
      </c>
      <c r="F39" s="982">
        <v>0</v>
      </c>
      <c r="G39" s="719">
        <v>7379</v>
      </c>
      <c r="H39" s="719">
        <v>6588</v>
      </c>
      <c r="I39" s="719">
        <v>6588</v>
      </c>
      <c r="J39" s="719">
        <v>6588</v>
      </c>
      <c r="K39" s="982">
        <v>0</v>
      </c>
      <c r="L39" s="982">
        <v>0</v>
      </c>
      <c r="M39" s="980">
        <f t="shared" si="1"/>
        <v>76571</v>
      </c>
      <c r="N39" s="967">
        <f>I10</f>
        <v>87495</v>
      </c>
      <c r="O39" s="977">
        <f t="shared" si="2"/>
        <v>-10924</v>
      </c>
    </row>
    <row r="40" spans="1:15" ht="14.4">
      <c r="A40" s="119">
        <f t="shared" ref="A40:C52" si="3">A39+1</f>
        <v>2039</v>
      </c>
      <c r="B40" s="1053">
        <f t="shared" si="3"/>
        <v>81</v>
      </c>
      <c r="C40" s="1057">
        <f t="shared" si="3"/>
        <v>79</v>
      </c>
      <c r="D40" s="1026">
        <v>32952</v>
      </c>
      <c r="E40" s="1025">
        <v>16476</v>
      </c>
      <c r="F40" s="982">
        <v>0</v>
      </c>
      <c r="G40" s="719">
        <v>7379</v>
      </c>
      <c r="H40" s="719">
        <v>6588</v>
      </c>
      <c r="I40" s="719">
        <v>6588</v>
      </c>
      <c r="J40" s="719">
        <v>6588</v>
      </c>
      <c r="K40" s="982">
        <v>0</v>
      </c>
      <c r="L40" s="982">
        <v>0</v>
      </c>
      <c r="M40" s="980">
        <f t="shared" si="1"/>
        <v>76571</v>
      </c>
      <c r="N40" s="967">
        <f>I10</f>
        <v>87495</v>
      </c>
      <c r="O40" s="977">
        <f>M40-N41</f>
        <v>-10924</v>
      </c>
    </row>
    <row r="41" spans="1:15" ht="14.4">
      <c r="A41" s="119">
        <f>A40+1</f>
        <v>2040</v>
      </c>
      <c r="B41" s="1053">
        <f>B40+1</f>
        <v>82</v>
      </c>
      <c r="C41" s="1057">
        <f>C40+1</f>
        <v>80</v>
      </c>
      <c r="D41" s="1026">
        <v>32952</v>
      </c>
      <c r="E41" s="1025">
        <v>16476</v>
      </c>
      <c r="F41" s="982">
        <v>0</v>
      </c>
      <c r="G41" s="719">
        <v>7379</v>
      </c>
      <c r="H41" s="719">
        <v>6588</v>
      </c>
      <c r="I41" s="719">
        <v>6588</v>
      </c>
      <c r="J41" s="719">
        <v>6588</v>
      </c>
      <c r="K41" s="982">
        <v>0</v>
      </c>
      <c r="L41" s="982">
        <v>0</v>
      </c>
      <c r="M41" s="981">
        <f t="shared" ref="M41:M57" si="4">SUM(D41+E41+F41+G41+H41+I41+J41+L41)</f>
        <v>76571</v>
      </c>
      <c r="N41" s="967">
        <f>I10</f>
        <v>87495</v>
      </c>
      <c r="O41" s="977">
        <f t="shared" si="2"/>
        <v>-10924</v>
      </c>
    </row>
    <row r="42" spans="1:15" ht="14.4">
      <c r="A42" s="119">
        <f t="shared" si="3"/>
        <v>2041</v>
      </c>
      <c r="B42" s="1053">
        <f t="shared" si="3"/>
        <v>83</v>
      </c>
      <c r="C42" s="1057">
        <f t="shared" si="3"/>
        <v>81</v>
      </c>
      <c r="D42" s="1026">
        <v>32952</v>
      </c>
      <c r="E42" s="1025">
        <v>16476</v>
      </c>
      <c r="F42" s="982">
        <v>0</v>
      </c>
      <c r="G42" s="719">
        <v>7379</v>
      </c>
      <c r="H42" s="719">
        <v>6588</v>
      </c>
      <c r="I42" s="719">
        <v>6588</v>
      </c>
      <c r="J42" s="719">
        <v>6588</v>
      </c>
      <c r="K42" s="982">
        <v>0</v>
      </c>
      <c r="L42" s="982">
        <v>0</v>
      </c>
      <c r="M42" s="982">
        <f t="shared" si="4"/>
        <v>76571</v>
      </c>
      <c r="N42" s="967">
        <f>I10</f>
        <v>87495</v>
      </c>
      <c r="O42" s="977">
        <f t="shared" si="2"/>
        <v>-10924</v>
      </c>
    </row>
    <row r="43" spans="1:15" ht="14.4">
      <c r="A43" s="119">
        <f t="shared" si="3"/>
        <v>2042</v>
      </c>
      <c r="B43" s="1053">
        <f t="shared" si="3"/>
        <v>84</v>
      </c>
      <c r="C43" s="1057">
        <f t="shared" si="3"/>
        <v>82</v>
      </c>
      <c r="D43" s="1026">
        <v>32952</v>
      </c>
      <c r="E43" s="1025">
        <v>16476</v>
      </c>
      <c r="F43" s="982">
        <v>0</v>
      </c>
      <c r="G43" s="719">
        <v>7379</v>
      </c>
      <c r="H43" s="719">
        <v>6588</v>
      </c>
      <c r="I43" s="719">
        <v>6588</v>
      </c>
      <c r="J43" s="719">
        <v>6588</v>
      </c>
      <c r="K43" s="982">
        <v>0</v>
      </c>
      <c r="L43" s="982">
        <v>0</v>
      </c>
      <c r="M43" s="980">
        <f t="shared" si="4"/>
        <v>76571</v>
      </c>
      <c r="N43" s="967">
        <f>I10</f>
        <v>87495</v>
      </c>
      <c r="O43" s="977">
        <f t="shared" si="2"/>
        <v>-10924</v>
      </c>
    </row>
    <row r="44" spans="1:15" ht="14.4">
      <c r="A44" s="119">
        <f t="shared" si="3"/>
        <v>2043</v>
      </c>
      <c r="B44" s="1053">
        <f t="shared" si="3"/>
        <v>85</v>
      </c>
      <c r="C44" s="1057">
        <f t="shared" si="3"/>
        <v>83</v>
      </c>
      <c r="D44" s="1026">
        <v>32952</v>
      </c>
      <c r="E44" s="1025">
        <v>16476</v>
      </c>
      <c r="F44" s="982">
        <v>0</v>
      </c>
      <c r="G44" s="719">
        <v>7379</v>
      </c>
      <c r="H44" s="719">
        <v>6588</v>
      </c>
      <c r="I44" s="719">
        <v>6588</v>
      </c>
      <c r="J44" s="719">
        <v>6588</v>
      </c>
      <c r="K44" s="982">
        <v>0</v>
      </c>
      <c r="L44" s="982">
        <v>0</v>
      </c>
      <c r="M44" s="980">
        <f t="shared" si="4"/>
        <v>76571</v>
      </c>
      <c r="N44" s="967">
        <f>I10</f>
        <v>87495</v>
      </c>
      <c r="O44" s="977">
        <f>M44-N49</f>
        <v>-10924</v>
      </c>
    </row>
    <row r="45" spans="1:15" ht="12.45">
      <c r="A45" s="1873"/>
      <c r="B45" s="1874"/>
      <c r="C45" s="1874"/>
      <c r="D45" s="1874"/>
      <c r="E45" s="1874"/>
      <c r="F45" s="1874"/>
      <c r="G45" s="1874"/>
      <c r="H45" s="1874"/>
      <c r="I45" s="1874"/>
      <c r="J45" s="1874"/>
      <c r="K45" s="1874"/>
      <c r="L45" s="1874"/>
      <c r="M45" s="1874"/>
      <c r="N45" s="1874"/>
      <c r="O45" s="1875"/>
    </row>
    <row r="46" spans="1:15" ht="23.6">
      <c r="A46" s="1876" t="s">
        <v>528</v>
      </c>
      <c r="B46" s="1877"/>
      <c r="C46" s="1877"/>
      <c r="D46" s="1877"/>
      <c r="E46" s="1877"/>
      <c r="F46" s="1877"/>
      <c r="G46" s="1877"/>
      <c r="H46" s="1877"/>
      <c r="I46" s="1877"/>
      <c r="J46" s="1877"/>
      <c r="K46" s="1877"/>
      <c r="L46" s="1877"/>
      <c r="M46" s="1877"/>
      <c r="N46" s="1877"/>
      <c r="O46" s="1877"/>
    </row>
    <row r="47" spans="1:15" ht="12.45">
      <c r="A47" s="1878"/>
      <c r="B47" s="1879"/>
      <c r="C47" s="1879"/>
      <c r="D47" s="1879"/>
      <c r="E47" s="1879"/>
      <c r="F47" s="1879"/>
      <c r="G47" s="1879"/>
      <c r="H47" s="1879"/>
      <c r="I47" s="1879"/>
      <c r="J47" s="1879"/>
      <c r="K47" s="1879"/>
      <c r="L47" s="1879"/>
      <c r="M47" s="1879"/>
      <c r="N47" s="1879"/>
      <c r="O47" s="1880"/>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2044</v>
      </c>
      <c r="B49" s="1056">
        <f>B44+1</f>
        <v>86</v>
      </c>
      <c r="C49" s="1062">
        <f>C44+1</f>
        <v>84</v>
      </c>
      <c r="D49" s="1026">
        <v>32952</v>
      </c>
      <c r="E49" s="1025">
        <v>0</v>
      </c>
      <c r="F49" s="982">
        <v>0</v>
      </c>
      <c r="G49" s="719">
        <v>7379</v>
      </c>
      <c r="H49" s="719">
        <v>6588</v>
      </c>
      <c r="I49" s="719">
        <v>6588</v>
      </c>
      <c r="J49" s="719">
        <v>6588</v>
      </c>
      <c r="K49" s="982">
        <v>0</v>
      </c>
      <c r="L49" s="982">
        <v>0</v>
      </c>
      <c r="M49" s="980">
        <f t="shared" si="4"/>
        <v>60095</v>
      </c>
      <c r="N49" s="967">
        <f>I10</f>
        <v>87495</v>
      </c>
      <c r="O49" s="977">
        <f t="shared" si="2"/>
        <v>-27400</v>
      </c>
    </row>
    <row r="50" spans="1:16" ht="14.4">
      <c r="A50" s="119">
        <f t="shared" si="3"/>
        <v>2045</v>
      </c>
      <c r="B50" s="1054">
        <f t="shared" si="3"/>
        <v>87</v>
      </c>
      <c r="C50" s="1057">
        <f t="shared" si="3"/>
        <v>85</v>
      </c>
      <c r="D50" s="1026">
        <v>32952</v>
      </c>
      <c r="E50" s="1025">
        <v>0</v>
      </c>
      <c r="F50" s="982">
        <v>0</v>
      </c>
      <c r="G50" s="719">
        <v>7379</v>
      </c>
      <c r="H50" s="719">
        <v>6588</v>
      </c>
      <c r="I50" s="719">
        <v>6588</v>
      </c>
      <c r="J50" s="719">
        <v>6588</v>
      </c>
      <c r="K50" s="982">
        <v>0</v>
      </c>
      <c r="L50" s="982">
        <v>0</v>
      </c>
      <c r="M50" s="980">
        <f t="shared" si="4"/>
        <v>60095</v>
      </c>
      <c r="N50" s="967">
        <f>I10</f>
        <v>87495</v>
      </c>
      <c r="O50" s="977">
        <f t="shared" si="2"/>
        <v>-27400</v>
      </c>
    </row>
    <row r="51" spans="1:16" ht="14.4">
      <c r="A51" s="119">
        <f t="shared" si="3"/>
        <v>2046</v>
      </c>
      <c r="B51" s="1053">
        <f t="shared" si="3"/>
        <v>88</v>
      </c>
      <c r="C51" s="1057">
        <f t="shared" si="3"/>
        <v>86</v>
      </c>
      <c r="D51" s="1026">
        <v>32952</v>
      </c>
      <c r="E51" s="1025">
        <v>0</v>
      </c>
      <c r="F51" s="982">
        <v>0</v>
      </c>
      <c r="G51" s="719">
        <v>7379</v>
      </c>
      <c r="H51" s="719">
        <v>6588</v>
      </c>
      <c r="I51" s="719">
        <v>6588</v>
      </c>
      <c r="J51" s="719">
        <v>6588</v>
      </c>
      <c r="K51" s="982">
        <v>0</v>
      </c>
      <c r="L51" s="982">
        <v>0</v>
      </c>
      <c r="M51" s="980">
        <f t="shared" si="4"/>
        <v>60095</v>
      </c>
      <c r="N51" s="967">
        <f>I10</f>
        <v>87495</v>
      </c>
      <c r="O51" s="977">
        <f t="shared" si="2"/>
        <v>-27400</v>
      </c>
    </row>
    <row r="52" spans="1:16" ht="14.4">
      <c r="A52" s="144">
        <f t="shared" si="3"/>
        <v>2047</v>
      </c>
      <c r="B52" s="1052">
        <f t="shared" si="3"/>
        <v>89</v>
      </c>
      <c r="C52" s="1060">
        <f t="shared" si="3"/>
        <v>87</v>
      </c>
      <c r="D52" s="1026">
        <v>32952</v>
      </c>
      <c r="E52" s="1025">
        <v>0</v>
      </c>
      <c r="F52" s="982">
        <v>0</v>
      </c>
      <c r="G52" s="719">
        <v>7379</v>
      </c>
      <c r="H52" s="719">
        <v>6588</v>
      </c>
      <c r="I52" s="719">
        <v>6588</v>
      </c>
      <c r="J52" s="719">
        <v>6588</v>
      </c>
      <c r="K52" s="982">
        <v>0</v>
      </c>
      <c r="L52" s="982">
        <v>0</v>
      </c>
      <c r="M52" s="980">
        <f t="shared" si="4"/>
        <v>60095</v>
      </c>
      <c r="N52" s="984">
        <f>I10</f>
        <v>87495</v>
      </c>
      <c r="O52" s="985">
        <f>M52-N54</f>
        <v>-27400</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2048</v>
      </c>
      <c r="B54" s="1063">
        <f>B52+1</f>
        <v>90</v>
      </c>
      <c r="C54" s="1064">
        <f>C52+1</f>
        <v>88</v>
      </c>
      <c r="D54" s="1026">
        <v>32952</v>
      </c>
      <c r="E54" s="1025">
        <v>0</v>
      </c>
      <c r="F54" s="982">
        <v>0</v>
      </c>
      <c r="G54" s="719">
        <v>7379</v>
      </c>
      <c r="H54" s="719">
        <v>6588</v>
      </c>
      <c r="I54" s="719">
        <v>6588</v>
      </c>
      <c r="J54" s="719">
        <v>6588</v>
      </c>
      <c r="K54" s="982">
        <v>0</v>
      </c>
      <c r="L54" s="982">
        <v>0</v>
      </c>
      <c r="M54" s="980">
        <f t="shared" si="4"/>
        <v>60095</v>
      </c>
      <c r="N54" s="967">
        <f>I10</f>
        <v>87495</v>
      </c>
      <c r="O54" s="977">
        <f>M54-N55</f>
        <v>-27400</v>
      </c>
    </row>
    <row r="55" spans="1:16" ht="13.1" customHeight="1">
      <c r="A55" s="137">
        <f t="shared" ref="A55:C57" si="5">A54+1</f>
        <v>2049</v>
      </c>
      <c r="B55" s="1054">
        <f t="shared" si="5"/>
        <v>91</v>
      </c>
      <c r="C55" s="1059">
        <f t="shared" si="5"/>
        <v>89</v>
      </c>
      <c r="D55" s="1026">
        <v>32952</v>
      </c>
      <c r="E55" s="1025">
        <v>0</v>
      </c>
      <c r="F55" s="982">
        <v>0</v>
      </c>
      <c r="G55" s="719">
        <v>7379</v>
      </c>
      <c r="H55" s="719">
        <v>6588</v>
      </c>
      <c r="I55" s="719">
        <v>6588</v>
      </c>
      <c r="J55" s="719">
        <v>6588</v>
      </c>
      <c r="K55" s="982">
        <v>0</v>
      </c>
      <c r="L55" s="982">
        <v>0</v>
      </c>
      <c r="M55" s="980">
        <f t="shared" si="4"/>
        <v>60095</v>
      </c>
      <c r="N55" s="967">
        <f>I10</f>
        <v>87495</v>
      </c>
      <c r="O55" s="977">
        <f>M55-N55</f>
        <v>-27400</v>
      </c>
    </row>
    <row r="56" spans="1:16" ht="13.1" customHeight="1">
      <c r="A56" s="137">
        <f t="shared" si="5"/>
        <v>2050</v>
      </c>
      <c r="B56" s="1054">
        <f t="shared" si="5"/>
        <v>92</v>
      </c>
      <c r="C56" s="1059">
        <f t="shared" si="5"/>
        <v>90</v>
      </c>
      <c r="D56" s="1026">
        <v>32952</v>
      </c>
      <c r="E56" s="1025">
        <v>0</v>
      </c>
      <c r="F56" s="982">
        <v>0</v>
      </c>
      <c r="G56" s="719">
        <v>7379</v>
      </c>
      <c r="H56" s="719">
        <v>6588</v>
      </c>
      <c r="I56" s="719">
        <v>6588</v>
      </c>
      <c r="J56" s="719">
        <v>6588</v>
      </c>
      <c r="K56" s="982">
        <v>0</v>
      </c>
      <c r="L56" s="982">
        <v>0</v>
      </c>
      <c r="M56" s="980">
        <f t="shared" si="4"/>
        <v>60095</v>
      </c>
      <c r="N56" s="967">
        <f>I10</f>
        <v>87495</v>
      </c>
      <c r="O56" s="977">
        <f t="shared" ref="O56:O57" si="6">M56-N56</f>
        <v>-27400</v>
      </c>
    </row>
    <row r="57" spans="1:16" ht="13.1" customHeight="1">
      <c r="A57" s="137">
        <f t="shared" si="5"/>
        <v>2051</v>
      </c>
      <c r="B57" s="1054">
        <f t="shared" si="5"/>
        <v>93</v>
      </c>
      <c r="C57" s="1059">
        <f t="shared" si="5"/>
        <v>91</v>
      </c>
      <c r="D57" s="1026">
        <v>32952</v>
      </c>
      <c r="E57" s="1025">
        <v>0</v>
      </c>
      <c r="F57" s="982">
        <v>0</v>
      </c>
      <c r="G57" s="719">
        <v>7379</v>
      </c>
      <c r="H57" s="719">
        <v>6588</v>
      </c>
      <c r="I57" s="719">
        <v>6588</v>
      </c>
      <c r="J57" s="719">
        <v>6588</v>
      </c>
      <c r="K57" s="982">
        <v>0</v>
      </c>
      <c r="L57" s="982">
        <v>0</v>
      </c>
      <c r="M57" s="980">
        <f t="shared" si="4"/>
        <v>60095</v>
      </c>
      <c r="N57" s="967">
        <f>I10</f>
        <v>87495</v>
      </c>
      <c r="O57" s="977">
        <f t="shared" si="6"/>
        <v>-27400</v>
      </c>
    </row>
    <row r="58" spans="1:16" ht="12.45">
      <c r="A58" s="1864"/>
      <c r="B58" s="1864"/>
      <c r="C58" s="1864"/>
      <c r="D58" s="1864"/>
      <c r="E58" s="1864"/>
      <c r="F58" s="1864"/>
      <c r="G58" s="1864"/>
      <c r="H58" s="1864"/>
      <c r="I58" s="1864"/>
      <c r="J58" s="1864"/>
      <c r="K58" s="1864"/>
      <c r="L58" s="1864"/>
      <c r="M58" s="1864"/>
      <c r="N58" s="1864"/>
      <c r="O58" s="1865"/>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542222357860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20.75" customWidth="1"/>
    <col min="12" max="12" width="22" customWidth="1"/>
    <col min="13" max="13" width="18.625" customWidth="1"/>
  </cols>
  <sheetData>
    <row r="1" spans="1:13" ht="24.25">
      <c r="A1" s="135" t="s">
        <v>72</v>
      </c>
      <c r="B1" s="134" t="s">
        <v>73</v>
      </c>
      <c r="C1" s="133" t="s">
        <v>74</v>
      </c>
      <c r="D1" s="1584" t="s">
        <v>75</v>
      </c>
      <c r="E1" s="1585"/>
      <c r="F1" s="1585"/>
      <c r="G1" s="1585"/>
      <c r="H1" s="1585"/>
      <c r="I1" s="1585"/>
      <c r="J1" s="1585"/>
      <c r="K1" s="1585"/>
      <c r="L1" s="1585"/>
      <c r="M1" s="1585"/>
    </row>
    <row r="2" spans="1:13" ht="18.350000000000001">
      <c r="A2" s="296">
        <v>50000</v>
      </c>
      <c r="B2" s="298">
        <v>150000</v>
      </c>
      <c r="C2" s="297">
        <v>500000</v>
      </c>
      <c r="D2" s="1586"/>
      <c r="E2" s="1586"/>
      <c r="F2" s="1586"/>
      <c r="G2" s="1586"/>
      <c r="H2" s="1586"/>
      <c r="I2" s="1586"/>
      <c r="J2" s="1586"/>
      <c r="K2" s="1586"/>
      <c r="L2" s="1586"/>
      <c r="M2" s="1586"/>
    </row>
    <row r="3" spans="1:13" ht="26.2">
      <c r="A3" s="34"/>
      <c r="B3" s="118"/>
      <c r="C3" s="35"/>
      <c r="D3" s="1587" t="s">
        <v>76</v>
      </c>
      <c r="E3" s="1588"/>
      <c r="F3" s="1588"/>
      <c r="G3" s="1588"/>
      <c r="H3" s="1588"/>
      <c r="I3" s="1588"/>
      <c r="J3" s="385">
        <f>'Egan Asset Summary'!O3</f>
        <v>0</v>
      </c>
    </row>
    <row r="4" spans="1:13" ht="14.4">
      <c r="A4" s="34"/>
      <c r="B4" s="118"/>
      <c r="C4" s="35"/>
      <c r="E4" s="75"/>
      <c r="F4" s="75"/>
      <c r="G4" s="75"/>
      <c r="I4" s="1589"/>
      <c r="J4" s="1590"/>
      <c r="K4" s="1590"/>
      <c r="L4" s="1590"/>
      <c r="M4" s="1590"/>
    </row>
    <row r="5" spans="1:13">
      <c r="A5" s="34"/>
      <c r="B5" s="118"/>
      <c r="C5" s="35"/>
      <c r="E5" s="75"/>
      <c r="F5" s="75"/>
      <c r="G5" s="75"/>
    </row>
    <row r="8" spans="1:13" ht="20.3">
      <c r="I8" s="1591" t="s">
        <v>77</v>
      </c>
      <c r="J8" s="1591"/>
      <c r="K8" s="1591"/>
      <c r="L8" s="1591"/>
      <c r="M8" s="1591"/>
    </row>
    <row r="9" spans="1:13" ht="18" customHeight="1">
      <c r="I9" s="1574" t="s">
        <v>78</v>
      </c>
      <c r="J9" s="1574"/>
      <c r="K9" s="1574"/>
      <c r="L9" s="1574"/>
      <c r="M9" s="1574"/>
    </row>
    <row r="10" spans="1:13" ht="17.55" customHeight="1">
      <c r="M10" s="262"/>
    </row>
    <row r="11" spans="1:13" ht="26.2">
      <c r="I11" s="1573" t="s">
        <v>79</v>
      </c>
      <c r="J11" s="1573"/>
      <c r="K11" s="1573"/>
      <c r="L11" s="1573"/>
      <c r="M11" s="1573"/>
    </row>
    <row r="12" spans="1:13" ht="20.3">
      <c r="I12" s="1571"/>
      <c r="J12" s="1572"/>
      <c r="K12" s="1572"/>
      <c r="L12" s="1572"/>
      <c r="M12" s="675"/>
    </row>
    <row r="13" spans="1:13" ht="20.3">
      <c r="I13" s="1571"/>
      <c r="J13" s="1572"/>
      <c r="K13" s="1572"/>
      <c r="L13" s="1572"/>
      <c r="M13" s="673"/>
    </row>
    <row r="14" spans="1:13" ht="20.3">
      <c r="I14" s="1582" t="s">
        <v>80</v>
      </c>
      <c r="J14" s="1582"/>
      <c r="K14" s="232" t="s">
        <v>81</v>
      </c>
      <c r="L14" s="685" t="s">
        <v>82</v>
      </c>
      <c r="M14" s="673"/>
    </row>
    <row r="15" spans="1:13" ht="18.350000000000001">
      <c r="I15" s="320" t="s">
        <v>83</v>
      </c>
      <c r="J15" s="236">
        <f>J3</f>
        <v>0</v>
      </c>
      <c r="K15" s="236">
        <f>J3</f>
        <v>0</v>
      </c>
      <c r="L15" s="236">
        <f>J3</f>
        <v>0</v>
      </c>
      <c r="M15" s="672"/>
    </row>
    <row r="16" spans="1:13" ht="23.6">
      <c r="I16" s="238" t="s">
        <v>84</v>
      </c>
      <c r="J16" s="682">
        <f>'No Plan Recap'!J16</f>
        <v>40420.221552223491</v>
      </c>
      <c r="K16" s="681">
        <f>'No Plan Recap'!K16</f>
        <v>45000</v>
      </c>
      <c r="L16" s="684" t="e">
        <f>'No Plan Recap'!L16</f>
        <v>#REF!</v>
      </c>
      <c r="M16" s="674" t="s">
        <v>85</v>
      </c>
    </row>
    <row r="17" spans="9:14" ht="17.7">
      <c r="I17" s="634" t="s">
        <v>86</v>
      </c>
      <c r="J17" s="676">
        <f>J15-J16</f>
        <v>-40420.221552223491</v>
      </c>
      <c r="K17" s="677">
        <f>K15-K16</f>
        <v>-45000</v>
      </c>
      <c r="L17" s="677" t="e">
        <f>L15-L16</f>
        <v>#REF!</v>
      </c>
      <c r="M17" s="703" t="s">
        <v>87</v>
      </c>
    </row>
    <row r="18" spans="9:14" ht="14.25" customHeight="1">
      <c r="I18" s="635" t="s">
        <v>88</v>
      </c>
      <c r="J18" s="670" t="s">
        <v>89</v>
      </c>
      <c r="K18" s="670" t="s">
        <v>89</v>
      </c>
      <c r="L18" s="670" t="s">
        <v>89</v>
      </c>
      <c r="M18" s="349"/>
    </row>
    <row r="19" spans="9:14" ht="20.3">
      <c r="I19" s="1579" t="s">
        <v>90</v>
      </c>
      <c r="J19" s="1579"/>
      <c r="K19" s="1579"/>
      <c r="L19" s="1579"/>
      <c r="M19" s="1579"/>
    </row>
    <row r="20" spans="9:14" ht="23.6">
      <c r="I20" s="355"/>
      <c r="J20" s="355"/>
      <c r="K20" s="693">
        <f>J16</f>
        <v>40420.221552223491</v>
      </c>
      <c r="L20" s="355"/>
      <c r="M20" s="355"/>
    </row>
    <row r="21" spans="9:14" ht="20.3">
      <c r="I21" s="1576"/>
      <c r="J21" s="1577"/>
      <c r="K21" s="1577"/>
      <c r="L21" s="1577"/>
      <c r="M21" s="1577"/>
    </row>
    <row r="22" spans="9:14" ht="26.2">
      <c r="I22" s="1580" t="s">
        <v>91</v>
      </c>
      <c r="J22" s="1580"/>
      <c r="K22" s="1580"/>
      <c r="L22" s="1580"/>
      <c r="M22" s="1580"/>
    </row>
    <row r="23" spans="9:14" ht="17.55" customHeight="1">
      <c r="I23" s="1578"/>
      <c r="J23" s="1578"/>
      <c r="K23" s="1578"/>
      <c r="L23" s="1578"/>
      <c r="M23" s="696" t="s">
        <v>92</v>
      </c>
    </row>
    <row r="24" spans="9:14" ht="18" customHeight="1">
      <c r="I24" s="1582" t="s">
        <v>80</v>
      </c>
      <c r="J24" s="1582"/>
      <c r="K24" s="232" t="s">
        <v>81</v>
      </c>
      <c r="L24" s="685" t="s">
        <v>82</v>
      </c>
      <c r="M24" s="705" t="s">
        <v>93</v>
      </c>
    </row>
    <row r="25" spans="9:14" ht="18" customHeight="1">
      <c r="I25" s="320" t="s">
        <v>83</v>
      </c>
      <c r="J25" s="236">
        <f>J3</f>
        <v>0</v>
      </c>
      <c r="K25" s="236">
        <f>J3</f>
        <v>0</v>
      </c>
      <c r="L25" s="236">
        <f>J3</f>
        <v>0</v>
      </c>
      <c r="M25" s="697" t="s">
        <v>94</v>
      </c>
    </row>
    <row r="26" spans="9:14" ht="18.649999999999999" customHeight="1">
      <c r="I26" s="238" t="s">
        <v>84</v>
      </c>
      <c r="J26" s="682" t="e">
        <f>#REF!</f>
        <v>#REF!</v>
      </c>
      <c r="K26" s="681" t="e">
        <f>#REF!</f>
        <v>#REF!</v>
      </c>
      <c r="L26" s="684" t="e">
        <f>#REF!</f>
        <v>#REF!</v>
      </c>
      <c r="M26" s="704" t="s">
        <v>95</v>
      </c>
    </row>
    <row r="27" spans="9:14" ht="23.6">
      <c r="I27" s="634" t="s">
        <v>86</v>
      </c>
      <c r="J27" s="678" t="e">
        <f>J25-J26</f>
        <v>#REF!</v>
      </c>
      <c r="K27" s="679" t="e">
        <f>K25-K26</f>
        <v>#REF!</v>
      </c>
      <c r="L27" s="679" t="e">
        <f>L25-L26</f>
        <v>#REF!</v>
      </c>
      <c r="M27" s="699" t="e">
        <f>#REF!</f>
        <v>#REF!</v>
      </c>
      <c r="N27" s="89"/>
    </row>
    <row r="28" spans="9:14" ht="20.3">
      <c r="I28" s="265" t="s">
        <v>88</v>
      </c>
      <c r="J28" s="192" t="s">
        <v>96</v>
      </c>
      <c r="K28" s="702" t="s">
        <v>89</v>
      </c>
      <c r="L28" s="702" t="s">
        <v>89</v>
      </c>
      <c r="M28" s="698" t="s">
        <v>97</v>
      </c>
    </row>
    <row r="29" spans="9:14" ht="20.3">
      <c r="I29" s="1581" t="s">
        <v>98</v>
      </c>
      <c r="J29" s="1581"/>
      <c r="K29" s="1581"/>
      <c r="L29" s="1581"/>
      <c r="M29" s="1581"/>
    </row>
    <row r="30" spans="9:14" ht="24.55" customHeight="1">
      <c r="I30" s="1583" t="s">
        <v>90</v>
      </c>
      <c r="J30" s="1583"/>
      <c r="K30" s="1583"/>
      <c r="L30" s="1583"/>
      <c r="M30" s="1583"/>
    </row>
    <row r="31" spans="9:14" ht="23.6">
      <c r="I31" s="454"/>
      <c r="J31" s="694"/>
      <c r="K31" s="692" t="e">
        <f>#REF!</f>
        <v>#REF!</v>
      </c>
      <c r="L31" s="694"/>
      <c r="M31" s="695"/>
    </row>
    <row r="32" spans="9:14" ht="18.649999999999999" customHeight="1">
      <c r="I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8">
    <mergeCell ref="D1:M1"/>
    <mergeCell ref="D2:M2"/>
    <mergeCell ref="D3:I3"/>
    <mergeCell ref="I4:M4"/>
    <mergeCell ref="I8:M8"/>
    <mergeCell ref="I12:L12"/>
    <mergeCell ref="I11:M11"/>
    <mergeCell ref="I9:M9"/>
    <mergeCell ref="I37:M37"/>
    <mergeCell ref="I13:L13"/>
    <mergeCell ref="I21:M21"/>
    <mergeCell ref="I23:L23"/>
    <mergeCell ref="I19:M19"/>
    <mergeCell ref="I22:M22"/>
    <mergeCell ref="I29:M29"/>
    <mergeCell ref="I14:J14"/>
    <mergeCell ref="I24:J24"/>
    <mergeCell ref="I30:M30"/>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516</v>
      </c>
      <c r="B1" s="1564"/>
      <c r="C1" s="1564"/>
      <c r="D1" s="1565"/>
      <c r="E1" s="1018" t="s">
        <v>42</v>
      </c>
      <c r="F1" s="1566" t="s">
        <v>517</v>
      </c>
      <c r="G1" s="1567"/>
      <c r="H1" s="1568"/>
      <c r="I1" s="1018" t="s">
        <v>44</v>
      </c>
      <c r="J1" s="1859" t="s">
        <v>518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21199</v>
      </c>
      <c r="G3" s="1008">
        <v>64</v>
      </c>
      <c r="H3" s="1012" t="s">
        <v>411</v>
      </c>
      <c r="I3" s="1008">
        <v>67</v>
      </c>
      <c r="J3" s="1016">
        <f>I3-G3</f>
        <v>3</v>
      </c>
      <c r="K3" s="1033" t="s">
        <v>47</v>
      </c>
      <c r="L3" s="192"/>
      <c r="Q3" s="89"/>
    </row>
    <row r="4" spans="1:17" ht="17.7">
      <c r="C4" s="1173">
        <f ca="1">TODAY()</f>
        <v>46198</v>
      </c>
      <c r="E4" s="1065" t="s">
        <v>374</v>
      </c>
      <c r="F4" s="1007">
        <v>21833</v>
      </c>
      <c r="G4" s="1008">
        <v>62</v>
      </c>
      <c r="H4" s="1065" t="s">
        <v>373</v>
      </c>
      <c r="I4" s="1008">
        <v>67</v>
      </c>
      <c r="J4" s="971">
        <f>I4-G4</f>
        <v>5</v>
      </c>
      <c r="K4" s="1065" t="s">
        <v>47</v>
      </c>
    </row>
    <row r="5" spans="1:17" s="89" customFormat="1" ht="20.3">
      <c r="B5" s="208"/>
      <c r="C5" s="970">
        <v>2020</v>
      </c>
      <c r="D5" s="192"/>
      <c r="E5" s="925"/>
      <c r="F5" s="925"/>
      <c r="G5" s="192"/>
      <c r="H5" s="192"/>
      <c r="I5" s="969"/>
      <c r="J5" s="192"/>
      <c r="K5" s="192"/>
      <c r="L5" s="969"/>
      <c r="M5" s="371"/>
      <c r="N5" s="192"/>
    </row>
    <row r="6" spans="1:17" s="89" customFormat="1" ht="17.7">
      <c r="A6" s="1788" t="s">
        <v>375</v>
      </c>
      <c r="B6" s="1789"/>
      <c r="C6" s="1790"/>
      <c r="D6" s="1009">
        <v>5416.67</v>
      </c>
      <c r="E6" s="1791" t="s">
        <v>376</v>
      </c>
      <c r="F6" s="1741"/>
      <c r="G6" s="968" t="s">
        <v>377</v>
      </c>
      <c r="H6" s="968" t="s">
        <v>377</v>
      </c>
      <c r="J6" s="968" t="s">
        <v>377</v>
      </c>
      <c r="K6" s="974"/>
      <c r="N6" s="16"/>
      <c r="O6" s="16"/>
    </row>
    <row r="7" spans="1:17" s="89" customFormat="1" ht="17.7">
      <c r="A7" s="1854" t="s">
        <v>378</v>
      </c>
      <c r="B7" s="1855"/>
      <c r="C7" s="1856"/>
      <c r="D7" s="1009">
        <v>0</v>
      </c>
      <c r="E7" s="1857" t="s">
        <v>379</v>
      </c>
      <c r="F7" s="1858"/>
      <c r="G7" s="968" t="s">
        <v>519</v>
      </c>
      <c r="H7" s="968" t="s">
        <v>519</v>
      </c>
      <c r="I7" s="1015">
        <f>D6+D7</f>
        <v>5416.67</v>
      </c>
      <c r="J7" s="968" t="s">
        <v>380</v>
      </c>
      <c r="K7" s="972">
        <f>I7*12</f>
        <v>65000.04</v>
      </c>
      <c r="O7" s="16"/>
    </row>
    <row r="10" spans="1:17" ht="17.7">
      <c r="A10" s="1524" t="s">
        <v>50</v>
      </c>
      <c r="B10" s="1524"/>
      <c r="C10" s="1524"/>
      <c r="D10" s="1524"/>
      <c r="E10" s="1010">
        <v>5833</v>
      </c>
      <c r="F10" s="966">
        <f>E10*12</f>
        <v>69996</v>
      </c>
      <c r="G10" s="192"/>
      <c r="H10" s="192"/>
      <c r="I10" s="973">
        <f>F10*1.25</f>
        <v>87495</v>
      </c>
      <c r="J10" s="1734" t="s">
        <v>520</v>
      </c>
      <c r="K10" s="1734"/>
      <c r="L10" s="1734"/>
      <c r="M10" s="1734"/>
      <c r="N10" s="1734"/>
      <c r="O10" s="16"/>
    </row>
    <row r="11" spans="1:17" s="89" customFormat="1" ht="20.3">
      <c r="B11" s="208"/>
      <c r="C11" s="970"/>
      <c r="D11" s="192"/>
      <c r="E11" s="925"/>
      <c r="F11" s="925"/>
      <c r="G11" s="192"/>
      <c r="H11" s="192"/>
      <c r="I11" s="969"/>
      <c r="J11" s="192"/>
      <c r="K11" s="192"/>
      <c r="L11" s="969"/>
      <c r="M11" s="371"/>
      <c r="N11" s="192"/>
    </row>
    <row r="12" spans="1:17" ht="18" customHeight="1">
      <c r="A12" s="1742" t="s">
        <v>383</v>
      </c>
      <c r="B12" s="1743"/>
      <c r="C12" s="1744"/>
      <c r="D12" s="1010">
        <v>2746</v>
      </c>
      <c r="E12" s="1013" t="s">
        <v>12</v>
      </c>
      <c r="F12" s="1011">
        <v>67</v>
      </c>
      <c r="G12" s="1745" t="s">
        <v>54</v>
      </c>
      <c r="H12" s="1746"/>
      <c r="I12" s="1021">
        <f>D12*12</f>
        <v>32952</v>
      </c>
      <c r="J12" s="1553" t="s">
        <v>55</v>
      </c>
      <c r="K12" s="1553"/>
      <c r="L12" s="1553"/>
      <c r="M12" s="1553"/>
      <c r="N12" s="1553"/>
      <c r="O12" s="1553"/>
    </row>
    <row r="13" spans="1:17" ht="17.7">
      <c r="A13" s="1866" t="s">
        <v>521</v>
      </c>
      <c r="B13" s="1867"/>
      <c r="C13" s="1868"/>
      <c r="D13" s="1010">
        <v>1373</v>
      </c>
      <c r="E13" s="1066" t="s">
        <v>12</v>
      </c>
      <c r="F13" s="1011">
        <v>67</v>
      </c>
      <c r="G13" s="1869" t="s">
        <v>54</v>
      </c>
      <c r="H13" s="1870"/>
      <c r="I13" s="973">
        <f>D13*12</f>
        <v>16476</v>
      </c>
      <c r="J13" s="1552" t="s">
        <v>522</v>
      </c>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897" t="s">
        <v>544</v>
      </c>
      <c r="B15" s="1897"/>
      <c r="C15" s="1897"/>
      <c r="D15" s="1897"/>
      <c r="E15" s="1897"/>
      <c r="F15" s="1897"/>
      <c r="G15" s="1897"/>
      <c r="H15" s="1897"/>
      <c r="I15" s="1897"/>
      <c r="J15" s="1897"/>
      <c r="K15" s="1897"/>
      <c r="L15" s="1897"/>
      <c r="M15" s="1897"/>
      <c r="N15" s="1897"/>
      <c r="O15" s="1898"/>
    </row>
    <row r="16" spans="1:17" ht="23.6">
      <c r="A16" s="1543" t="s">
        <v>57</v>
      </c>
      <c r="B16" s="1544"/>
      <c r="C16" s="1544"/>
      <c r="D16" s="1544"/>
      <c r="E16" s="1544"/>
      <c r="F16" s="1544"/>
      <c r="G16" s="1544"/>
      <c r="H16" s="1544"/>
      <c r="I16" s="1544"/>
      <c r="J16" s="1544"/>
      <c r="K16" s="1544"/>
      <c r="L16" s="1544"/>
      <c r="M16" s="1544"/>
      <c r="N16" s="1544"/>
      <c r="O16" s="1545"/>
      <c r="P16" s="89"/>
    </row>
    <row r="17" spans="1:23" s="37" customFormat="1" ht="100" customHeight="1">
      <c r="A17" s="1110"/>
      <c r="B17" s="1110"/>
      <c r="C17" s="1110"/>
      <c r="D17" s="1027" t="s">
        <v>413</v>
      </c>
      <c r="E17" s="1046" t="s">
        <v>524</v>
      </c>
      <c r="F17" s="36"/>
      <c r="G17" s="1183" t="s">
        <v>545</v>
      </c>
      <c r="H17" s="36"/>
      <c r="I17" s="36"/>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149"/>
      <c r="G19" s="1093">
        <v>1</v>
      </c>
      <c r="H19" s="1154"/>
      <c r="I19" s="1154"/>
      <c r="J19" s="1154"/>
      <c r="K19" s="1154"/>
      <c r="L19" s="1154"/>
      <c r="M19" s="992"/>
      <c r="N19" s="992"/>
      <c r="O19" s="993"/>
    </row>
    <row r="20" spans="1:23">
      <c r="A20" s="1860"/>
      <c r="B20" s="1860"/>
      <c r="C20" s="1861"/>
      <c r="D20" s="976">
        <f>F12</f>
        <v>67</v>
      </c>
      <c r="E20" s="976">
        <f>F13</f>
        <v>67</v>
      </c>
      <c r="F20" s="1105"/>
      <c r="G20" s="1095">
        <v>67</v>
      </c>
      <c r="H20" s="1155"/>
      <c r="I20" s="1105"/>
      <c r="J20" s="1105"/>
      <c r="K20" s="1105"/>
      <c r="L20" s="1105"/>
      <c r="M20" s="990"/>
      <c r="N20" s="989"/>
      <c r="O20" s="994"/>
    </row>
    <row r="21" spans="1:23" ht="16.05" customHeight="1">
      <c r="A21" s="1749" t="s">
        <v>26</v>
      </c>
      <c r="B21" s="1813" t="s">
        <v>390</v>
      </c>
      <c r="C21" s="1862" t="s">
        <v>58</v>
      </c>
      <c r="D21" s="975">
        <f>I12</f>
        <v>32952</v>
      </c>
      <c r="E21" s="975">
        <f>I13</f>
        <v>16476</v>
      </c>
      <c r="F21" s="975"/>
      <c r="G21" s="1096">
        <v>798600</v>
      </c>
      <c r="H21" s="975"/>
      <c r="I21" s="975"/>
      <c r="J21" s="975"/>
      <c r="K21" s="975"/>
      <c r="L21" s="975"/>
      <c r="M21" s="990"/>
      <c r="N21" s="989"/>
      <c r="O21" s="994"/>
    </row>
    <row r="22" spans="1:23" ht="16.05" customHeight="1">
      <c r="A22" s="1750"/>
      <c r="B22" s="1814"/>
      <c r="C22" s="1863"/>
      <c r="D22" s="1895"/>
      <c r="E22" s="1895"/>
      <c r="F22" s="1895"/>
      <c r="G22" s="1895"/>
      <c r="H22" s="1895"/>
      <c r="I22" s="1895"/>
      <c r="J22" s="1895"/>
      <c r="K22" s="1895"/>
      <c r="L22" s="1896"/>
      <c r="M22" s="991"/>
      <c r="N22" s="208"/>
      <c r="O22" s="995"/>
    </row>
    <row r="23" spans="1:23" ht="14.4">
      <c r="A23" s="979" t="s">
        <v>527</v>
      </c>
      <c r="B23" s="1051">
        <f>G3</f>
        <v>64</v>
      </c>
      <c r="C23" s="1057">
        <f>G4</f>
        <v>62</v>
      </c>
      <c r="D23" s="982">
        <v>0</v>
      </c>
      <c r="E23" s="982">
        <v>0</v>
      </c>
      <c r="F23" s="982">
        <v>0</v>
      </c>
      <c r="G23" s="982">
        <v>0</v>
      </c>
      <c r="H23" s="982">
        <v>0</v>
      </c>
      <c r="I23" s="982">
        <v>0</v>
      </c>
      <c r="J23" s="982">
        <v>0</v>
      </c>
      <c r="K23" s="982">
        <v>0</v>
      </c>
      <c r="L23" s="982">
        <v>0</v>
      </c>
      <c r="M23" s="980">
        <f>D23+E23+F23+G23+H23+I23+J23+K23+L23</f>
        <v>0</v>
      </c>
      <c r="N23" s="967">
        <f>I10</f>
        <v>87495</v>
      </c>
      <c r="O23" s="977">
        <f>M23-N24</f>
        <v>-87495</v>
      </c>
    </row>
    <row r="24" spans="1:23" ht="14.4">
      <c r="A24" s="119">
        <f t="shared" ref="A24:C39" si="0">A23+1</f>
        <v>2023</v>
      </c>
      <c r="B24" s="1052">
        <f t="shared" si="0"/>
        <v>65</v>
      </c>
      <c r="C24" s="1058">
        <f t="shared" si="0"/>
        <v>63</v>
      </c>
      <c r="D24" s="982">
        <v>0</v>
      </c>
      <c r="E24" s="982">
        <v>0</v>
      </c>
      <c r="F24" s="982">
        <v>0</v>
      </c>
      <c r="G24" s="982">
        <v>0</v>
      </c>
      <c r="H24" s="982">
        <v>0</v>
      </c>
      <c r="I24" s="982">
        <v>0</v>
      </c>
      <c r="J24" s="982">
        <v>0</v>
      </c>
      <c r="K24" s="982">
        <v>0</v>
      </c>
      <c r="L24" s="982">
        <v>0</v>
      </c>
      <c r="M24" s="980">
        <f t="shared" ref="M24:M40" si="1">D24+E24+F24+G24+H24+I24+J24+K24+L24</f>
        <v>0</v>
      </c>
      <c r="N24" s="967">
        <f>I10</f>
        <v>87495</v>
      </c>
      <c r="O24" s="977">
        <f t="shared" ref="O24:O51" si="2">M24-N25</f>
        <v>-87495</v>
      </c>
    </row>
    <row r="25" spans="1:23" ht="14.4">
      <c r="A25" s="155">
        <f t="shared" si="0"/>
        <v>2024</v>
      </c>
      <c r="B25" s="1053">
        <f t="shared" si="0"/>
        <v>66</v>
      </c>
      <c r="C25" s="1057">
        <f t="shared" si="0"/>
        <v>64</v>
      </c>
      <c r="D25" s="982">
        <v>0</v>
      </c>
      <c r="E25" s="982">
        <v>0</v>
      </c>
      <c r="F25" s="982">
        <v>0</v>
      </c>
      <c r="G25" s="982">
        <v>0</v>
      </c>
      <c r="H25" s="982">
        <v>0</v>
      </c>
      <c r="I25" s="982">
        <v>0</v>
      </c>
      <c r="J25" s="982">
        <v>0</v>
      </c>
      <c r="K25" s="982">
        <v>0</v>
      </c>
      <c r="L25" s="982">
        <v>0</v>
      </c>
      <c r="M25" s="980">
        <f t="shared" si="1"/>
        <v>0</v>
      </c>
      <c r="N25" s="967">
        <f>I10</f>
        <v>87495</v>
      </c>
      <c r="O25" s="977">
        <f t="shared" si="2"/>
        <v>-87495</v>
      </c>
    </row>
    <row r="26" spans="1:23" ht="14.4">
      <c r="A26" s="119">
        <f t="shared" si="0"/>
        <v>2025</v>
      </c>
      <c r="B26" s="1054">
        <f t="shared" si="0"/>
        <v>67</v>
      </c>
      <c r="C26" s="1059">
        <f t="shared" si="0"/>
        <v>65</v>
      </c>
      <c r="D26" s="1026">
        <v>32952</v>
      </c>
      <c r="E26" s="982">
        <v>0</v>
      </c>
      <c r="F26" s="982">
        <v>0</v>
      </c>
      <c r="G26" s="719">
        <v>39531</v>
      </c>
      <c r="H26" s="982">
        <v>0</v>
      </c>
      <c r="I26" s="982">
        <v>0</v>
      </c>
      <c r="J26" s="982">
        <v>0</v>
      </c>
      <c r="K26" s="982">
        <v>0</v>
      </c>
      <c r="L26" s="982">
        <v>0</v>
      </c>
      <c r="M26" s="980">
        <f t="shared" si="1"/>
        <v>72483</v>
      </c>
      <c r="N26" s="967">
        <f>I10</f>
        <v>87495</v>
      </c>
      <c r="O26" s="977">
        <f t="shared" si="2"/>
        <v>-15012</v>
      </c>
    </row>
    <row r="27" spans="1:23" ht="14.4">
      <c r="A27" s="119">
        <f t="shared" si="0"/>
        <v>2026</v>
      </c>
      <c r="B27" s="1053">
        <f t="shared" si="0"/>
        <v>68</v>
      </c>
      <c r="C27" s="1057">
        <f t="shared" si="0"/>
        <v>66</v>
      </c>
      <c r="D27" s="1026">
        <v>32952</v>
      </c>
      <c r="E27" s="982">
        <v>0</v>
      </c>
      <c r="F27" s="982">
        <v>0</v>
      </c>
      <c r="G27" s="719">
        <v>39531</v>
      </c>
      <c r="H27" s="982">
        <v>0</v>
      </c>
      <c r="I27" s="982">
        <v>0</v>
      </c>
      <c r="J27" s="982">
        <v>0</v>
      </c>
      <c r="K27" s="982">
        <v>0</v>
      </c>
      <c r="L27" s="982">
        <v>0</v>
      </c>
      <c r="M27" s="980">
        <f t="shared" si="1"/>
        <v>72483</v>
      </c>
      <c r="N27" s="967">
        <f>I10</f>
        <v>87495</v>
      </c>
      <c r="O27" s="977">
        <f t="shared" si="2"/>
        <v>-15012</v>
      </c>
    </row>
    <row r="28" spans="1:23" ht="14.4">
      <c r="A28" s="119">
        <f t="shared" si="0"/>
        <v>2027</v>
      </c>
      <c r="B28" s="1052">
        <f t="shared" si="0"/>
        <v>69</v>
      </c>
      <c r="C28" s="1060">
        <f t="shared" si="0"/>
        <v>67</v>
      </c>
      <c r="D28" s="1026">
        <v>32952</v>
      </c>
      <c r="E28" s="1025">
        <v>16476</v>
      </c>
      <c r="F28" s="982">
        <v>0</v>
      </c>
      <c r="G28" s="719">
        <v>39531</v>
      </c>
      <c r="H28" s="982">
        <v>0</v>
      </c>
      <c r="I28" s="982">
        <v>0</v>
      </c>
      <c r="J28" s="982">
        <v>0</v>
      </c>
      <c r="K28" s="982">
        <v>0</v>
      </c>
      <c r="L28" s="982">
        <v>0</v>
      </c>
      <c r="M28" s="980">
        <f t="shared" si="1"/>
        <v>88959</v>
      </c>
      <c r="N28" s="967">
        <f>I10</f>
        <v>87495</v>
      </c>
      <c r="O28" s="977">
        <f t="shared" si="2"/>
        <v>1464</v>
      </c>
    </row>
    <row r="29" spans="1:23" ht="14.4">
      <c r="A29" s="155">
        <f t="shared" si="0"/>
        <v>2028</v>
      </c>
      <c r="B29" s="1053">
        <f t="shared" si="0"/>
        <v>70</v>
      </c>
      <c r="C29" s="1057">
        <f t="shared" si="0"/>
        <v>68</v>
      </c>
      <c r="D29" s="1026">
        <v>32952</v>
      </c>
      <c r="E29" s="1025">
        <v>16476</v>
      </c>
      <c r="F29" s="982">
        <v>0</v>
      </c>
      <c r="G29" s="719">
        <v>39531</v>
      </c>
      <c r="H29" s="982">
        <v>0</v>
      </c>
      <c r="I29" s="982">
        <v>0</v>
      </c>
      <c r="J29" s="982">
        <v>0</v>
      </c>
      <c r="K29" s="982">
        <v>0</v>
      </c>
      <c r="L29" s="982">
        <v>0</v>
      </c>
      <c r="M29" s="980">
        <f t="shared" si="1"/>
        <v>88959</v>
      </c>
      <c r="N29" s="967">
        <f>I10</f>
        <v>87495</v>
      </c>
      <c r="O29" s="977">
        <f t="shared" si="2"/>
        <v>1464</v>
      </c>
    </row>
    <row r="30" spans="1:23" ht="14.4">
      <c r="A30" s="119">
        <f t="shared" si="0"/>
        <v>2029</v>
      </c>
      <c r="B30" s="1054">
        <f t="shared" si="0"/>
        <v>71</v>
      </c>
      <c r="C30" s="1059">
        <f t="shared" si="0"/>
        <v>69</v>
      </c>
      <c r="D30" s="1026">
        <v>32952</v>
      </c>
      <c r="E30" s="1025">
        <v>16476</v>
      </c>
      <c r="F30" s="982">
        <v>0</v>
      </c>
      <c r="G30" s="719">
        <v>39531</v>
      </c>
      <c r="H30" s="982">
        <v>0</v>
      </c>
      <c r="I30" s="982">
        <v>0</v>
      </c>
      <c r="J30" s="982">
        <v>0</v>
      </c>
      <c r="K30" s="982">
        <v>0</v>
      </c>
      <c r="L30" s="982">
        <v>0</v>
      </c>
      <c r="M30" s="980">
        <f t="shared" si="1"/>
        <v>88959</v>
      </c>
      <c r="N30" s="967">
        <f>I10</f>
        <v>87495</v>
      </c>
      <c r="O30" s="977">
        <f t="shared" si="2"/>
        <v>1464</v>
      </c>
    </row>
    <row r="31" spans="1:23" ht="14.4">
      <c r="A31" s="119">
        <f t="shared" si="0"/>
        <v>2030</v>
      </c>
      <c r="B31" s="1053">
        <f t="shared" si="0"/>
        <v>72</v>
      </c>
      <c r="C31" s="1057">
        <f t="shared" si="0"/>
        <v>70</v>
      </c>
      <c r="D31" s="1026">
        <v>32952</v>
      </c>
      <c r="E31" s="1025">
        <v>16476</v>
      </c>
      <c r="F31" s="982">
        <v>0</v>
      </c>
      <c r="G31" s="719">
        <v>39531</v>
      </c>
      <c r="H31" s="982">
        <v>0</v>
      </c>
      <c r="I31" s="982">
        <v>0</v>
      </c>
      <c r="J31" s="982">
        <v>0</v>
      </c>
      <c r="K31" s="982">
        <v>0</v>
      </c>
      <c r="L31" s="982">
        <v>0</v>
      </c>
      <c r="M31" s="980">
        <f t="shared" si="1"/>
        <v>88959</v>
      </c>
      <c r="N31" s="967">
        <f>I10</f>
        <v>87495</v>
      </c>
      <c r="O31" s="977">
        <f t="shared" si="2"/>
        <v>1464</v>
      </c>
    </row>
    <row r="32" spans="1:23" ht="14.4">
      <c r="A32" s="119">
        <f t="shared" si="0"/>
        <v>2031</v>
      </c>
      <c r="B32" s="1053">
        <f t="shared" si="0"/>
        <v>73</v>
      </c>
      <c r="C32" s="1057">
        <f t="shared" si="0"/>
        <v>71</v>
      </c>
      <c r="D32" s="1026">
        <v>32952</v>
      </c>
      <c r="E32" s="1025">
        <v>16476</v>
      </c>
      <c r="F32" s="982">
        <v>0</v>
      </c>
      <c r="G32" s="719">
        <v>39531</v>
      </c>
      <c r="H32" s="982">
        <v>0</v>
      </c>
      <c r="I32" s="982">
        <v>0</v>
      </c>
      <c r="J32" s="982">
        <v>0</v>
      </c>
      <c r="K32" s="982">
        <v>0</v>
      </c>
      <c r="L32" s="982">
        <v>0</v>
      </c>
      <c r="M32" s="980">
        <f t="shared" si="1"/>
        <v>88959</v>
      </c>
      <c r="N32" s="967">
        <f>I10</f>
        <v>87495</v>
      </c>
      <c r="O32" s="977">
        <f t="shared" si="2"/>
        <v>1464</v>
      </c>
    </row>
    <row r="33" spans="1:15" ht="14.4">
      <c r="A33" s="119">
        <f t="shared" si="0"/>
        <v>2032</v>
      </c>
      <c r="B33" s="1053">
        <f t="shared" si="0"/>
        <v>74</v>
      </c>
      <c r="C33" s="1057">
        <f t="shared" si="0"/>
        <v>72</v>
      </c>
      <c r="D33" s="1026">
        <v>32952</v>
      </c>
      <c r="E33" s="1025">
        <v>16476</v>
      </c>
      <c r="F33" s="982">
        <v>0</v>
      </c>
      <c r="G33" s="719">
        <v>39531</v>
      </c>
      <c r="H33" s="982">
        <v>0</v>
      </c>
      <c r="I33" s="982">
        <v>0</v>
      </c>
      <c r="J33" s="982">
        <v>0</v>
      </c>
      <c r="K33" s="982">
        <v>0</v>
      </c>
      <c r="L33" s="982">
        <v>0</v>
      </c>
      <c r="M33" s="980">
        <f t="shared" si="1"/>
        <v>88959</v>
      </c>
      <c r="N33" s="967">
        <f>I10</f>
        <v>87495</v>
      </c>
      <c r="O33" s="977">
        <f t="shared" si="2"/>
        <v>1464</v>
      </c>
    </row>
    <row r="34" spans="1:15" ht="14.4">
      <c r="A34" s="119">
        <f t="shared" si="0"/>
        <v>2033</v>
      </c>
      <c r="B34" s="1053">
        <f t="shared" si="0"/>
        <v>75</v>
      </c>
      <c r="C34" s="1057">
        <f t="shared" si="0"/>
        <v>73</v>
      </c>
      <c r="D34" s="1026">
        <v>32952</v>
      </c>
      <c r="E34" s="1025">
        <v>16476</v>
      </c>
      <c r="F34" s="982">
        <v>0</v>
      </c>
      <c r="G34" s="719">
        <v>39531</v>
      </c>
      <c r="H34" s="982">
        <v>0</v>
      </c>
      <c r="I34" s="982">
        <v>0</v>
      </c>
      <c r="J34" s="982">
        <v>0</v>
      </c>
      <c r="K34" s="982">
        <v>0</v>
      </c>
      <c r="L34" s="982">
        <v>0</v>
      </c>
      <c r="M34" s="980">
        <f t="shared" si="1"/>
        <v>88959</v>
      </c>
      <c r="N34" s="967">
        <f>I10</f>
        <v>87495</v>
      </c>
      <c r="O34" s="977">
        <f t="shared" si="2"/>
        <v>1464</v>
      </c>
    </row>
    <row r="35" spans="1:15" ht="14.4">
      <c r="A35" s="119">
        <f t="shared" si="0"/>
        <v>2034</v>
      </c>
      <c r="B35" s="1053">
        <f t="shared" si="0"/>
        <v>76</v>
      </c>
      <c r="C35" s="1057">
        <f t="shared" si="0"/>
        <v>74</v>
      </c>
      <c r="D35" s="1026">
        <v>32952</v>
      </c>
      <c r="E35" s="1025">
        <v>16476</v>
      </c>
      <c r="F35" s="982">
        <v>0</v>
      </c>
      <c r="G35" s="719">
        <v>39531</v>
      </c>
      <c r="H35" s="982">
        <v>0</v>
      </c>
      <c r="I35" s="982">
        <v>0</v>
      </c>
      <c r="J35" s="982">
        <v>0</v>
      </c>
      <c r="K35" s="982">
        <v>0</v>
      </c>
      <c r="L35" s="982">
        <v>0</v>
      </c>
      <c r="M35" s="980">
        <f t="shared" si="1"/>
        <v>88959</v>
      </c>
      <c r="N35" s="967">
        <f>I10</f>
        <v>87495</v>
      </c>
      <c r="O35" s="977">
        <f t="shared" si="2"/>
        <v>1464</v>
      </c>
    </row>
    <row r="36" spans="1:15" ht="14.4">
      <c r="A36" s="119">
        <f t="shared" si="0"/>
        <v>2035</v>
      </c>
      <c r="B36" s="1053">
        <f t="shared" si="0"/>
        <v>77</v>
      </c>
      <c r="C36" s="1057">
        <f t="shared" si="0"/>
        <v>75</v>
      </c>
      <c r="D36" s="1026">
        <v>32952</v>
      </c>
      <c r="E36" s="1025">
        <v>16476</v>
      </c>
      <c r="F36" s="982">
        <v>0</v>
      </c>
      <c r="G36" s="719">
        <v>39531</v>
      </c>
      <c r="H36" s="982">
        <v>0</v>
      </c>
      <c r="I36" s="982">
        <v>0</v>
      </c>
      <c r="J36" s="982">
        <v>0</v>
      </c>
      <c r="K36" s="982">
        <v>0</v>
      </c>
      <c r="L36" s="982">
        <v>0</v>
      </c>
      <c r="M36" s="980">
        <f t="shared" si="1"/>
        <v>88959</v>
      </c>
      <c r="N36" s="967">
        <f>I10</f>
        <v>87495</v>
      </c>
      <c r="O36" s="977">
        <f t="shared" si="2"/>
        <v>1464</v>
      </c>
    </row>
    <row r="37" spans="1:15" ht="14.4">
      <c r="A37" s="119">
        <f t="shared" si="0"/>
        <v>2036</v>
      </c>
      <c r="B37" s="1053">
        <f t="shared" si="0"/>
        <v>78</v>
      </c>
      <c r="C37" s="1057">
        <f t="shared" si="0"/>
        <v>76</v>
      </c>
      <c r="D37" s="1026">
        <v>32952</v>
      </c>
      <c r="E37" s="1025">
        <v>16476</v>
      </c>
      <c r="F37" s="982">
        <v>0</v>
      </c>
      <c r="G37" s="719">
        <v>39531</v>
      </c>
      <c r="H37" s="982">
        <v>0</v>
      </c>
      <c r="I37" s="982">
        <v>0</v>
      </c>
      <c r="J37" s="982">
        <v>0</v>
      </c>
      <c r="K37" s="982">
        <v>0</v>
      </c>
      <c r="L37" s="982">
        <v>0</v>
      </c>
      <c r="M37" s="980">
        <f t="shared" si="1"/>
        <v>88959</v>
      </c>
      <c r="N37" s="967">
        <f>I10</f>
        <v>87495</v>
      </c>
      <c r="O37" s="977">
        <f t="shared" si="2"/>
        <v>1464</v>
      </c>
    </row>
    <row r="38" spans="1:15" ht="14.4">
      <c r="A38" s="155">
        <f t="shared" si="0"/>
        <v>2037</v>
      </c>
      <c r="B38" s="1053">
        <f t="shared" si="0"/>
        <v>79</v>
      </c>
      <c r="C38" s="1061">
        <f t="shared" si="0"/>
        <v>77</v>
      </c>
      <c r="D38" s="1026">
        <v>32952</v>
      </c>
      <c r="E38" s="1025">
        <v>16476</v>
      </c>
      <c r="F38" s="982">
        <v>0</v>
      </c>
      <c r="G38" s="719">
        <v>39531</v>
      </c>
      <c r="H38" s="982">
        <v>0</v>
      </c>
      <c r="I38" s="982">
        <v>0</v>
      </c>
      <c r="J38" s="982">
        <v>0</v>
      </c>
      <c r="K38" s="982">
        <v>0</v>
      </c>
      <c r="L38" s="982">
        <v>0</v>
      </c>
      <c r="M38" s="980">
        <f t="shared" si="1"/>
        <v>88959</v>
      </c>
      <c r="N38" s="967">
        <f>I10</f>
        <v>87495</v>
      </c>
      <c r="O38" s="977">
        <f t="shared" si="2"/>
        <v>1464</v>
      </c>
    </row>
    <row r="39" spans="1:15" ht="14.4">
      <c r="A39" s="119">
        <f t="shared" si="0"/>
        <v>2038</v>
      </c>
      <c r="B39" s="1054">
        <f t="shared" si="0"/>
        <v>80</v>
      </c>
      <c r="C39" s="1057">
        <f t="shared" si="0"/>
        <v>78</v>
      </c>
      <c r="D39" s="1026">
        <v>32952</v>
      </c>
      <c r="E39" s="1025">
        <v>16476</v>
      </c>
      <c r="F39" s="982">
        <v>0</v>
      </c>
      <c r="G39" s="719">
        <v>39531</v>
      </c>
      <c r="H39" s="982">
        <v>0</v>
      </c>
      <c r="I39" s="982">
        <v>0</v>
      </c>
      <c r="J39" s="982">
        <v>0</v>
      </c>
      <c r="K39" s="982">
        <v>0</v>
      </c>
      <c r="L39" s="982">
        <v>0</v>
      </c>
      <c r="M39" s="980">
        <f t="shared" si="1"/>
        <v>88959</v>
      </c>
      <c r="N39" s="967">
        <f>I10</f>
        <v>87495</v>
      </c>
      <c r="O39" s="977">
        <f t="shared" si="2"/>
        <v>1464</v>
      </c>
    </row>
    <row r="40" spans="1:15" ht="14.4">
      <c r="A40" s="119">
        <f t="shared" ref="A40:C52" si="3">A39+1</f>
        <v>2039</v>
      </c>
      <c r="B40" s="1053">
        <f t="shared" si="3"/>
        <v>81</v>
      </c>
      <c r="C40" s="1057">
        <f t="shared" si="3"/>
        <v>79</v>
      </c>
      <c r="D40" s="1026">
        <v>32952</v>
      </c>
      <c r="E40" s="1025">
        <v>16476</v>
      </c>
      <c r="F40" s="982">
        <v>0</v>
      </c>
      <c r="G40" s="719">
        <v>39531</v>
      </c>
      <c r="H40" s="982">
        <v>0</v>
      </c>
      <c r="I40" s="982">
        <v>0</v>
      </c>
      <c r="J40" s="982">
        <v>0</v>
      </c>
      <c r="K40" s="982">
        <v>0</v>
      </c>
      <c r="L40" s="982">
        <v>0</v>
      </c>
      <c r="M40" s="980">
        <f t="shared" si="1"/>
        <v>88959</v>
      </c>
      <c r="N40" s="967">
        <f>I10</f>
        <v>87495</v>
      </c>
      <c r="O40" s="977">
        <f>M40-N41</f>
        <v>1464</v>
      </c>
    </row>
    <row r="41" spans="1:15" ht="14.4">
      <c r="A41" s="119">
        <f>A40+1</f>
        <v>2040</v>
      </c>
      <c r="B41" s="1053">
        <f>B40+1</f>
        <v>82</v>
      </c>
      <c r="C41" s="1057">
        <f>C40+1</f>
        <v>80</v>
      </c>
      <c r="D41" s="1026">
        <v>32952</v>
      </c>
      <c r="E41" s="1025">
        <v>16476</v>
      </c>
      <c r="F41" s="982">
        <v>0</v>
      </c>
      <c r="G41" s="719">
        <v>39531</v>
      </c>
      <c r="H41" s="982">
        <v>0</v>
      </c>
      <c r="I41" s="982">
        <v>0</v>
      </c>
      <c r="J41" s="982">
        <v>0</v>
      </c>
      <c r="K41" s="982">
        <v>0</v>
      </c>
      <c r="L41" s="982">
        <v>0</v>
      </c>
      <c r="M41" s="981">
        <f t="shared" ref="M41:M57" si="4">SUM(D41+E41+F41+G41+H41+I41+J41+L41)</f>
        <v>88959</v>
      </c>
      <c r="N41" s="967">
        <f>I10</f>
        <v>87495</v>
      </c>
      <c r="O41" s="977">
        <f t="shared" si="2"/>
        <v>1464</v>
      </c>
    </row>
    <row r="42" spans="1:15" ht="14.4">
      <c r="A42" s="119">
        <f t="shared" si="3"/>
        <v>2041</v>
      </c>
      <c r="B42" s="1053">
        <f t="shared" si="3"/>
        <v>83</v>
      </c>
      <c r="C42" s="1057">
        <f t="shared" si="3"/>
        <v>81</v>
      </c>
      <c r="D42" s="1026">
        <v>32952</v>
      </c>
      <c r="E42" s="1025">
        <v>16476</v>
      </c>
      <c r="F42" s="982">
        <v>0</v>
      </c>
      <c r="G42" s="719">
        <v>39531</v>
      </c>
      <c r="H42" s="982">
        <v>0</v>
      </c>
      <c r="I42" s="982">
        <v>0</v>
      </c>
      <c r="J42" s="982">
        <v>0</v>
      </c>
      <c r="K42" s="982">
        <v>0</v>
      </c>
      <c r="L42" s="982">
        <v>0</v>
      </c>
      <c r="M42" s="982">
        <f t="shared" si="4"/>
        <v>88959</v>
      </c>
      <c r="N42" s="967">
        <f>I10</f>
        <v>87495</v>
      </c>
      <c r="O42" s="977">
        <f t="shared" si="2"/>
        <v>1464</v>
      </c>
    </row>
    <row r="43" spans="1:15" ht="14.4">
      <c r="A43" s="119">
        <f t="shared" si="3"/>
        <v>2042</v>
      </c>
      <c r="B43" s="1053">
        <f t="shared" si="3"/>
        <v>84</v>
      </c>
      <c r="C43" s="1057">
        <f t="shared" si="3"/>
        <v>82</v>
      </c>
      <c r="D43" s="1026">
        <v>32952</v>
      </c>
      <c r="E43" s="1025">
        <v>16476</v>
      </c>
      <c r="F43" s="982">
        <v>0</v>
      </c>
      <c r="G43" s="719">
        <v>39531</v>
      </c>
      <c r="H43" s="982">
        <v>0</v>
      </c>
      <c r="I43" s="982">
        <v>0</v>
      </c>
      <c r="J43" s="982">
        <v>0</v>
      </c>
      <c r="K43" s="982">
        <v>0</v>
      </c>
      <c r="L43" s="982">
        <v>0</v>
      </c>
      <c r="M43" s="980">
        <f t="shared" si="4"/>
        <v>88959</v>
      </c>
      <c r="N43" s="967">
        <f>I10</f>
        <v>87495</v>
      </c>
      <c r="O43" s="977">
        <f t="shared" si="2"/>
        <v>1464</v>
      </c>
    </row>
    <row r="44" spans="1:15" ht="14.4">
      <c r="A44" s="119">
        <f t="shared" si="3"/>
        <v>2043</v>
      </c>
      <c r="B44" s="1053">
        <f t="shared" si="3"/>
        <v>85</v>
      </c>
      <c r="C44" s="1057">
        <f t="shared" si="3"/>
        <v>83</v>
      </c>
      <c r="D44" s="1026">
        <v>32952</v>
      </c>
      <c r="E44" s="1025">
        <v>16476</v>
      </c>
      <c r="F44" s="982">
        <v>0</v>
      </c>
      <c r="G44" s="719">
        <v>39531</v>
      </c>
      <c r="H44" s="982">
        <v>0</v>
      </c>
      <c r="I44" s="982">
        <v>0</v>
      </c>
      <c r="J44" s="982">
        <v>0</v>
      </c>
      <c r="K44" s="982">
        <v>0</v>
      </c>
      <c r="L44" s="982">
        <v>0</v>
      </c>
      <c r="M44" s="980">
        <f t="shared" si="4"/>
        <v>88959</v>
      </c>
      <c r="N44" s="967">
        <f>I10</f>
        <v>87495</v>
      </c>
      <c r="O44" s="977">
        <f>M44-N49</f>
        <v>1464</v>
      </c>
    </row>
    <row r="45" spans="1:15" ht="12.45">
      <c r="A45" s="1899"/>
      <c r="B45" s="1900"/>
      <c r="C45" s="1900"/>
      <c r="D45" s="1900"/>
      <c r="E45" s="1900"/>
      <c r="F45" s="1900"/>
      <c r="G45" s="1900"/>
      <c r="H45" s="1900"/>
      <c r="I45" s="1900"/>
      <c r="J45" s="1900"/>
      <c r="K45" s="1900"/>
      <c r="L45" s="1900"/>
      <c r="M45" s="1900"/>
      <c r="N45" s="1900"/>
      <c r="O45" s="1901"/>
    </row>
    <row r="46" spans="1:15" ht="23.6">
      <c r="A46" s="1902" t="s">
        <v>528</v>
      </c>
      <c r="B46" s="1903"/>
      <c r="C46" s="1903"/>
      <c r="D46" s="1903"/>
      <c r="E46" s="1903"/>
      <c r="F46" s="1903"/>
      <c r="G46" s="1903"/>
      <c r="H46" s="1903"/>
      <c r="I46" s="1903"/>
      <c r="J46" s="1903"/>
      <c r="K46" s="1903"/>
      <c r="L46" s="1903"/>
      <c r="M46" s="1903"/>
      <c r="N46" s="1903"/>
      <c r="O46" s="1903"/>
    </row>
    <row r="47" spans="1:15" ht="12.45">
      <c r="A47" s="1904"/>
      <c r="B47" s="1905"/>
      <c r="C47" s="1905"/>
      <c r="D47" s="1905"/>
      <c r="E47" s="1905"/>
      <c r="F47" s="1905"/>
      <c r="G47" s="1905"/>
      <c r="H47" s="1905"/>
      <c r="I47" s="1905"/>
      <c r="J47" s="1905"/>
      <c r="K47" s="1905"/>
      <c r="L47" s="1905"/>
      <c r="M47" s="1905"/>
      <c r="N47" s="1905"/>
      <c r="O47" s="1906"/>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2044</v>
      </c>
      <c r="B49" s="1056">
        <f>B44+1</f>
        <v>86</v>
      </c>
      <c r="C49" s="1062">
        <f>C44+1</f>
        <v>84</v>
      </c>
      <c r="D49" s="1026">
        <v>32952</v>
      </c>
      <c r="E49" s="1025">
        <v>0</v>
      </c>
      <c r="F49" s="982">
        <v>0</v>
      </c>
      <c r="G49" s="719">
        <v>39531</v>
      </c>
      <c r="H49" s="982"/>
      <c r="I49" s="982">
        <v>0</v>
      </c>
      <c r="J49" s="982">
        <v>0</v>
      </c>
      <c r="K49" s="982">
        <v>0</v>
      </c>
      <c r="L49" s="982">
        <v>0</v>
      </c>
      <c r="M49" s="980">
        <f t="shared" si="4"/>
        <v>72483</v>
      </c>
      <c r="N49" s="967">
        <f>I10</f>
        <v>87495</v>
      </c>
      <c r="O49" s="977">
        <f t="shared" si="2"/>
        <v>-15012</v>
      </c>
    </row>
    <row r="50" spans="1:16" ht="14.4">
      <c r="A50" s="119">
        <f t="shared" si="3"/>
        <v>2045</v>
      </c>
      <c r="B50" s="1054">
        <f t="shared" si="3"/>
        <v>87</v>
      </c>
      <c r="C50" s="1057">
        <f t="shared" si="3"/>
        <v>85</v>
      </c>
      <c r="D50" s="1026">
        <v>32952</v>
      </c>
      <c r="E50" s="1025">
        <v>0</v>
      </c>
      <c r="F50" s="982">
        <v>0</v>
      </c>
      <c r="G50" s="719">
        <v>39531</v>
      </c>
      <c r="H50" s="982"/>
      <c r="I50" s="982">
        <v>0</v>
      </c>
      <c r="J50" s="982">
        <v>0</v>
      </c>
      <c r="K50" s="982">
        <v>0</v>
      </c>
      <c r="L50" s="982">
        <v>0</v>
      </c>
      <c r="M50" s="980">
        <f t="shared" si="4"/>
        <v>72483</v>
      </c>
      <c r="N50" s="967">
        <f>I10</f>
        <v>87495</v>
      </c>
      <c r="O50" s="977">
        <f t="shared" si="2"/>
        <v>-15012</v>
      </c>
    </row>
    <row r="51" spans="1:16" ht="14.4">
      <c r="A51" s="119">
        <f t="shared" si="3"/>
        <v>2046</v>
      </c>
      <c r="B51" s="1053">
        <f t="shared" si="3"/>
        <v>88</v>
      </c>
      <c r="C51" s="1057">
        <f t="shared" si="3"/>
        <v>86</v>
      </c>
      <c r="D51" s="1026">
        <v>32952</v>
      </c>
      <c r="E51" s="1025">
        <v>0</v>
      </c>
      <c r="F51" s="982">
        <v>0</v>
      </c>
      <c r="G51" s="719">
        <v>39531</v>
      </c>
      <c r="H51" s="982"/>
      <c r="I51" s="982">
        <v>0</v>
      </c>
      <c r="J51" s="982">
        <v>0</v>
      </c>
      <c r="K51" s="982">
        <v>0</v>
      </c>
      <c r="L51" s="982">
        <v>0</v>
      </c>
      <c r="M51" s="980">
        <f t="shared" si="4"/>
        <v>72483</v>
      </c>
      <c r="N51" s="967">
        <f>I10</f>
        <v>87495</v>
      </c>
      <c r="O51" s="977">
        <f t="shared" si="2"/>
        <v>-15012</v>
      </c>
    </row>
    <row r="52" spans="1:16" ht="14.4">
      <c r="A52" s="144">
        <f t="shared" si="3"/>
        <v>2047</v>
      </c>
      <c r="B52" s="1052">
        <f t="shared" si="3"/>
        <v>89</v>
      </c>
      <c r="C52" s="1060">
        <f t="shared" si="3"/>
        <v>87</v>
      </c>
      <c r="D52" s="1026">
        <v>32952</v>
      </c>
      <c r="E52" s="1025">
        <v>0</v>
      </c>
      <c r="F52" s="982">
        <v>0</v>
      </c>
      <c r="G52" s="719">
        <v>39531</v>
      </c>
      <c r="H52" s="982"/>
      <c r="I52" s="982">
        <v>0</v>
      </c>
      <c r="J52" s="982">
        <v>0</v>
      </c>
      <c r="K52" s="982">
        <v>0</v>
      </c>
      <c r="L52" s="982">
        <v>0</v>
      </c>
      <c r="M52" s="980">
        <f t="shared" si="4"/>
        <v>72483</v>
      </c>
      <c r="N52" s="984">
        <f>I10</f>
        <v>87495</v>
      </c>
      <c r="O52" s="985">
        <f>M52-N54</f>
        <v>-15012</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2048</v>
      </c>
      <c r="B54" s="1063">
        <f>B52+1</f>
        <v>90</v>
      </c>
      <c r="C54" s="1064">
        <f>C52+1</f>
        <v>88</v>
      </c>
      <c r="D54" s="1026">
        <v>32952</v>
      </c>
      <c r="E54" s="1025">
        <v>0</v>
      </c>
      <c r="F54" s="982">
        <v>0</v>
      </c>
      <c r="G54" s="719">
        <v>39531</v>
      </c>
      <c r="H54" s="982"/>
      <c r="I54" s="982">
        <v>0</v>
      </c>
      <c r="J54" s="982">
        <v>0</v>
      </c>
      <c r="K54" s="982">
        <v>0</v>
      </c>
      <c r="L54" s="982">
        <v>0</v>
      </c>
      <c r="M54" s="980">
        <f t="shared" si="4"/>
        <v>72483</v>
      </c>
      <c r="N54" s="967">
        <f>I10</f>
        <v>87495</v>
      </c>
      <c r="O54" s="977">
        <f>M54-N55</f>
        <v>-15012</v>
      </c>
    </row>
    <row r="55" spans="1:16" ht="13.1" customHeight="1">
      <c r="A55" s="137">
        <f t="shared" ref="A55:C57" si="5">A54+1</f>
        <v>2049</v>
      </c>
      <c r="B55" s="1054">
        <f t="shared" si="5"/>
        <v>91</v>
      </c>
      <c r="C55" s="1059">
        <f t="shared" si="5"/>
        <v>89</v>
      </c>
      <c r="D55" s="1026">
        <v>32952</v>
      </c>
      <c r="E55" s="1025">
        <v>0</v>
      </c>
      <c r="F55" s="982">
        <v>0</v>
      </c>
      <c r="G55" s="719">
        <v>39531</v>
      </c>
      <c r="H55" s="982"/>
      <c r="I55" s="982">
        <v>0</v>
      </c>
      <c r="J55" s="982">
        <v>0</v>
      </c>
      <c r="K55" s="982">
        <v>0</v>
      </c>
      <c r="L55" s="982">
        <v>0</v>
      </c>
      <c r="M55" s="980">
        <f t="shared" si="4"/>
        <v>72483</v>
      </c>
      <c r="N55" s="967">
        <f>I10</f>
        <v>87495</v>
      </c>
      <c r="O55" s="977">
        <f>M55-N55</f>
        <v>-15012</v>
      </c>
    </row>
    <row r="56" spans="1:16" ht="13.1" customHeight="1">
      <c r="A56" s="137">
        <f t="shared" si="5"/>
        <v>2050</v>
      </c>
      <c r="B56" s="1054">
        <f t="shared" si="5"/>
        <v>92</v>
      </c>
      <c r="C56" s="1059">
        <f t="shared" si="5"/>
        <v>90</v>
      </c>
      <c r="D56" s="1026">
        <v>32952</v>
      </c>
      <c r="E56" s="1025">
        <v>0</v>
      </c>
      <c r="F56" s="982">
        <v>0</v>
      </c>
      <c r="G56" s="719">
        <v>39531</v>
      </c>
      <c r="H56" s="982"/>
      <c r="I56" s="982">
        <v>0</v>
      </c>
      <c r="J56" s="982">
        <v>0</v>
      </c>
      <c r="K56" s="982">
        <v>0</v>
      </c>
      <c r="L56" s="982">
        <v>0</v>
      </c>
      <c r="M56" s="980">
        <f t="shared" si="4"/>
        <v>72483</v>
      </c>
      <c r="N56" s="967">
        <f>I10</f>
        <v>87495</v>
      </c>
      <c r="O56" s="977">
        <f t="shared" ref="O56:O57" si="6">M56-N56</f>
        <v>-15012</v>
      </c>
    </row>
    <row r="57" spans="1:16" ht="13.1" customHeight="1">
      <c r="A57" s="137">
        <f t="shared" si="5"/>
        <v>2051</v>
      </c>
      <c r="B57" s="1054">
        <f t="shared" si="5"/>
        <v>93</v>
      </c>
      <c r="C57" s="1059">
        <f t="shared" si="5"/>
        <v>91</v>
      </c>
      <c r="D57" s="1026">
        <v>32952</v>
      </c>
      <c r="E57" s="1025">
        <v>0</v>
      </c>
      <c r="F57" s="982">
        <v>0</v>
      </c>
      <c r="G57" s="719">
        <v>39531</v>
      </c>
      <c r="H57" s="982"/>
      <c r="I57" s="982">
        <v>0</v>
      </c>
      <c r="J57" s="982">
        <v>0</v>
      </c>
      <c r="K57" s="982">
        <v>0</v>
      </c>
      <c r="L57" s="982">
        <v>0</v>
      </c>
      <c r="M57" s="980">
        <f t="shared" si="4"/>
        <v>72483</v>
      </c>
      <c r="N57" s="967">
        <f>I10</f>
        <v>87495</v>
      </c>
      <c r="O57" s="977">
        <f t="shared" si="6"/>
        <v>-15012</v>
      </c>
    </row>
    <row r="58" spans="1:16" ht="12.45">
      <c r="A58" s="1895"/>
      <c r="B58" s="1895"/>
      <c r="C58" s="1895"/>
      <c r="D58" s="1895"/>
      <c r="E58" s="1895"/>
      <c r="F58" s="1895"/>
      <c r="G58" s="1895"/>
      <c r="H58" s="1895"/>
      <c r="I58" s="1895"/>
      <c r="J58" s="1895"/>
      <c r="K58" s="1895"/>
      <c r="L58" s="1895"/>
      <c r="M58" s="1895"/>
      <c r="N58" s="1895"/>
      <c r="O58" s="1896"/>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42" t="s">
        <v>546</v>
      </c>
      <c r="B1" s="1642"/>
      <c r="C1" s="1642"/>
      <c r="D1" s="1642"/>
      <c r="E1" s="1642"/>
      <c r="F1" s="1642"/>
      <c r="G1" s="1642"/>
      <c r="H1" s="1642"/>
      <c r="I1" s="1642"/>
      <c r="J1" s="1642"/>
      <c r="K1" s="1642"/>
      <c r="L1" s="1642"/>
      <c r="M1" s="1642"/>
    </row>
    <row r="2" spans="1:19" ht="26.2">
      <c r="C2" s="1643" t="s">
        <v>239</v>
      </c>
      <c r="D2" s="1644"/>
      <c r="E2" s="1644"/>
      <c r="F2" s="1645"/>
      <c r="G2" s="1646" t="e">
        <f>'[1]Stem Gold Immediate Plan '!I10</f>
        <v>#REF!</v>
      </c>
      <c r="H2" s="1647"/>
      <c r="I2" s="1648"/>
      <c r="J2" s="1649" t="s">
        <v>239</v>
      </c>
      <c r="K2" s="1650"/>
      <c r="L2" s="1112"/>
      <c r="M2" s="1113"/>
    </row>
    <row r="3" spans="1:19" ht="26.2">
      <c r="C3" s="357"/>
      <c r="D3" s="357"/>
      <c r="E3" s="357"/>
      <c r="F3" s="357"/>
      <c r="G3" s="1118"/>
      <c r="H3" s="1118"/>
      <c r="I3" s="1118"/>
      <c r="J3" s="1119"/>
      <c r="K3" s="1119"/>
      <c r="L3" s="1112"/>
      <c r="M3" s="1113"/>
    </row>
    <row r="4" spans="1:19" ht="20.3">
      <c r="A4" s="1651" t="s">
        <v>240</v>
      </c>
      <c r="B4" s="1651"/>
      <c r="C4" s="1651"/>
      <c r="D4" s="1651"/>
      <c r="E4" s="1651"/>
      <c r="F4" s="1651"/>
      <c r="G4" s="1651"/>
      <c r="H4" s="1653"/>
      <c r="I4" s="1653"/>
      <c r="J4" s="1652" t="s">
        <v>241</v>
      </c>
      <c r="K4" s="1652"/>
      <c r="L4" s="1652"/>
      <c r="M4" s="1652"/>
      <c r="N4" s="1652"/>
      <c r="O4" s="1120"/>
    </row>
    <row r="5" spans="1:19" ht="20.3">
      <c r="A5" s="1124" t="s">
        <v>242</v>
      </c>
      <c r="B5" s="1127" t="s">
        <v>243</v>
      </c>
      <c r="C5" s="1128" t="e">
        <f>'[3]Egan Goals '!C5</f>
        <v>#REF!</v>
      </c>
      <c r="D5" s="1632" t="s">
        <v>244</v>
      </c>
      <c r="E5" s="1632"/>
      <c r="F5" s="1632"/>
      <c r="G5" s="1140" t="e">
        <f>C5-G2</f>
        <v>#REF!</v>
      </c>
      <c r="H5" s="1641"/>
      <c r="I5" s="1641"/>
      <c r="J5" s="1631" t="s">
        <v>253</v>
      </c>
      <c r="K5" s="1631"/>
      <c r="L5" s="1130">
        <f>'Alt Cash Flow  Snapshot No Plan'!M49</f>
        <v>0</v>
      </c>
      <c r="M5" s="1123" t="s">
        <v>246</v>
      </c>
      <c r="N5" s="1141" t="e">
        <f>L5-G2</f>
        <v>#REF!</v>
      </c>
      <c r="O5" s="725"/>
      <c r="P5" s="726"/>
      <c r="Q5" s="726"/>
      <c r="R5" s="726"/>
      <c r="S5" s="727"/>
    </row>
    <row r="6" spans="1:19" ht="20.3">
      <c r="H6" s="1653"/>
      <c r="I6" s="1653"/>
      <c r="J6" s="257"/>
      <c r="K6" s="383"/>
      <c r="L6" s="230"/>
      <c r="M6" s="230"/>
      <c r="O6" s="725"/>
      <c r="P6" s="727"/>
      <c r="S6" s="728"/>
    </row>
    <row r="7" spans="1:19" ht="20.3">
      <c r="A7" s="1126" t="s">
        <v>537</v>
      </c>
      <c r="B7" s="1127" t="s">
        <v>243</v>
      </c>
      <c r="C7" s="1128">
        <f>'Alt Cash Flow  Snapshot No Plan'!M35</f>
        <v>43752.147722451831</v>
      </c>
      <c r="D7" s="1634" t="s">
        <v>244</v>
      </c>
      <c r="E7" s="1634"/>
      <c r="F7" s="1634"/>
      <c r="G7" s="1140" t="e">
        <f>C7-G2</f>
        <v>#REF!</v>
      </c>
      <c r="H7" s="1641"/>
      <c r="I7" s="1641"/>
      <c r="J7" s="1622" t="s">
        <v>255</v>
      </c>
      <c r="K7" s="1622"/>
      <c r="L7" s="1128">
        <f>L5</f>
        <v>0</v>
      </c>
      <c r="M7" s="1131" t="s">
        <v>248</v>
      </c>
      <c r="N7" s="1142" t="e">
        <f>L7-G2</f>
        <v>#REF!</v>
      </c>
      <c r="O7" s="724"/>
      <c r="P7" s="728"/>
      <c r="S7" s="728"/>
    </row>
    <row r="8" spans="1:19" ht="20.3">
      <c r="I8" s="1620"/>
      <c r="J8" s="1620"/>
      <c r="K8" s="1114"/>
      <c r="L8" s="1115"/>
      <c r="M8" s="1115"/>
      <c r="O8" s="724"/>
      <c r="P8" s="728"/>
      <c r="Q8" s="723"/>
      <c r="R8" s="724"/>
      <c r="S8" s="728"/>
    </row>
    <row r="9" spans="1:19" ht="20.3">
      <c r="A9" s="1121" t="s">
        <v>538</v>
      </c>
      <c r="B9" s="1127" t="s">
        <v>243</v>
      </c>
      <c r="C9" s="1128">
        <f>'Alt Cash Flow  Snapshot No Plan'!M44</f>
        <v>52287.866604367766</v>
      </c>
      <c r="D9" s="1632" t="s">
        <v>244</v>
      </c>
      <c r="E9" s="1632"/>
      <c r="F9" s="1632"/>
      <c r="G9" s="1140" t="e">
        <f>C9-G2</f>
        <v>#REF!</v>
      </c>
      <c r="H9" s="1641"/>
      <c r="I9" s="1641"/>
      <c r="J9" s="1892"/>
      <c r="K9" s="1892"/>
      <c r="L9" s="1892"/>
      <c r="M9" s="1892"/>
      <c r="N9" s="1893"/>
      <c r="O9" s="724"/>
      <c r="P9" s="728"/>
      <c r="S9" s="728"/>
    </row>
    <row r="10" spans="1:19" ht="20.3">
      <c r="A10" s="1121"/>
      <c r="B10" s="1121"/>
      <c r="C10" s="1121"/>
      <c r="D10" s="1121"/>
      <c r="E10" s="1121"/>
      <c r="F10" s="1121"/>
      <c r="G10" s="1121"/>
      <c r="H10" s="1121"/>
      <c r="I10" s="1121"/>
      <c r="J10" s="1121"/>
      <c r="K10" s="1121"/>
      <c r="L10" s="1121"/>
      <c r="M10" s="1121"/>
      <c r="N10" s="1121"/>
      <c r="O10" s="724"/>
      <c r="P10" s="728"/>
      <c r="S10" s="728"/>
    </row>
    <row r="11" spans="1:19" ht="17.55" customHeight="1">
      <c r="I11" s="1637"/>
      <c r="J11" s="1637"/>
      <c r="K11" s="670"/>
      <c r="L11" s="670"/>
      <c r="M11" s="670"/>
      <c r="O11" s="724"/>
      <c r="P11" s="728"/>
      <c r="S11" s="728"/>
    </row>
    <row r="12" spans="1:19" ht="20.3">
      <c r="A12" s="1909" t="s">
        <v>547</v>
      </c>
      <c r="B12" s="1909"/>
      <c r="C12" s="1909"/>
      <c r="D12" s="1909"/>
      <c r="E12" s="1909"/>
      <c r="F12" s="1909"/>
      <c r="G12" s="1909"/>
      <c r="H12" s="1912"/>
      <c r="I12" s="1912"/>
      <c r="J12" s="1910" t="s">
        <v>548</v>
      </c>
      <c r="K12" s="1910"/>
      <c r="L12" s="1910"/>
      <c r="M12" s="1910"/>
      <c r="N12" s="1910"/>
      <c r="O12" s="724"/>
      <c r="P12" s="728"/>
      <c r="S12" s="728"/>
    </row>
    <row r="13" spans="1:19" ht="21.6" customHeight="1">
      <c r="A13" s="1145" t="s">
        <v>242</v>
      </c>
      <c r="B13" s="1127" t="s">
        <v>243</v>
      </c>
      <c r="C13" s="1128" t="e">
        <f>'[1]Stem Gold Immediate Plan '!M26</f>
        <v>#REF!</v>
      </c>
      <c r="D13" s="1911" t="s">
        <v>244</v>
      </c>
      <c r="E13" s="1911"/>
      <c r="F13" s="1911"/>
      <c r="G13" s="1153" t="e">
        <f>C13-G2</f>
        <v>#REF!</v>
      </c>
      <c r="H13" s="1912"/>
      <c r="I13" s="1912"/>
      <c r="J13" s="1631" t="s">
        <v>253</v>
      </c>
      <c r="K13" s="1631"/>
      <c r="L13" s="1130" t="e">
        <f>'[1]Stem Gold Immediate Plan '!M49</f>
        <v>#REF!</v>
      </c>
      <c r="M13" s="1131" t="s">
        <v>246</v>
      </c>
      <c r="N13" s="1142" t="e">
        <f>L13-G2</f>
        <v>#REF!</v>
      </c>
      <c r="O13" s="724"/>
      <c r="P13" s="728"/>
      <c r="S13" s="728"/>
    </row>
    <row r="14" spans="1:19" ht="17.7">
      <c r="H14" s="1912"/>
      <c r="I14" s="1912"/>
      <c r="J14" s="1106"/>
      <c r="K14" s="1106"/>
      <c r="L14" s="1106"/>
      <c r="M14" s="1106"/>
    </row>
    <row r="15" spans="1:19" ht="20.3">
      <c r="A15" s="1146" t="s">
        <v>537</v>
      </c>
      <c r="B15" s="1127" t="s">
        <v>243</v>
      </c>
      <c r="C15" s="1128" t="e">
        <f>'[1]Stem Gold Immediate Plan '!M28</f>
        <v>#REF!</v>
      </c>
      <c r="D15" s="1907" t="s">
        <v>244</v>
      </c>
      <c r="E15" s="1907"/>
      <c r="F15" s="1907"/>
      <c r="G15" s="1182" t="e">
        <f>C15-G2</f>
        <v>#REF!</v>
      </c>
      <c r="H15" s="1912"/>
      <c r="I15" s="1912"/>
      <c r="J15" s="1622" t="s">
        <v>255</v>
      </c>
      <c r="K15" s="1622"/>
      <c r="L15" s="1128" t="e">
        <f>'[1]Stem Gold Immediate Plan '!M54</f>
        <v>#REF!</v>
      </c>
      <c r="M15" s="1131" t="s">
        <v>248</v>
      </c>
      <c r="N15" s="1144" t="e">
        <f>L15-G2</f>
        <v>#REF!</v>
      </c>
    </row>
    <row r="16" spans="1:19" ht="20.3">
      <c r="I16" s="236"/>
      <c r="J16" s="1108"/>
      <c r="K16" s="930"/>
      <c r="L16" s="930"/>
      <c r="M16" s="736"/>
    </row>
    <row r="17" spans="1:19" ht="20.3">
      <c r="A17" s="1146" t="s">
        <v>538</v>
      </c>
      <c r="B17" s="1127" t="s">
        <v>243</v>
      </c>
      <c r="C17" s="1128" t="e">
        <f>'[1]Stem Gold Immediate Plan '!M28</f>
        <v>#REF!</v>
      </c>
      <c r="D17" s="1907" t="s">
        <v>244</v>
      </c>
      <c r="E17" s="1907"/>
      <c r="F17" s="1907"/>
      <c r="G17" s="1182" t="e">
        <f>C17-G2</f>
        <v>#REF!</v>
      </c>
      <c r="H17" s="1895"/>
      <c r="I17" s="1895"/>
      <c r="J17" s="1908"/>
      <c r="K17" s="1908"/>
      <c r="L17" s="1908"/>
      <c r="M17" s="1908"/>
      <c r="N17" s="1908"/>
    </row>
    <row r="18" spans="1:19">
      <c r="A18" s="462"/>
      <c r="B18" s="462"/>
      <c r="C18" s="462"/>
      <c r="D18" s="462"/>
      <c r="E18" s="462"/>
      <c r="F18" s="462"/>
      <c r="G18" s="462"/>
      <c r="H18" s="462"/>
      <c r="I18" s="462"/>
      <c r="J18" s="462"/>
      <c r="K18" s="462"/>
      <c r="L18" s="462"/>
      <c r="M18" s="462"/>
      <c r="N18" s="462"/>
    </row>
    <row r="19" spans="1:19" ht="17.7">
      <c r="I19" s="256"/>
      <c r="J19" s="678"/>
      <c r="K19" s="934"/>
      <c r="L19" s="934"/>
      <c r="M19" s="937"/>
      <c r="O19" s="729"/>
      <c r="P19" s="730"/>
      <c r="Q19" s="723"/>
      <c r="R19" s="723"/>
      <c r="S19" s="730"/>
    </row>
    <row r="20" spans="1:19" ht="20.3">
      <c r="A20" s="1638" t="s">
        <v>256</v>
      </c>
      <c r="B20" s="1638"/>
      <c r="C20" s="1638"/>
      <c r="D20" s="1638"/>
      <c r="E20" s="1638"/>
      <c r="F20" s="1638"/>
      <c r="G20" s="1638"/>
      <c r="I20" s="262"/>
      <c r="J20" s="1639" t="s">
        <v>257</v>
      </c>
      <c r="K20" s="1639"/>
      <c r="L20" s="1639"/>
      <c r="M20" s="1639"/>
      <c r="N20" s="1639"/>
      <c r="O20" s="724"/>
      <c r="P20" s="728"/>
      <c r="S20" s="728"/>
    </row>
    <row r="21" spans="1:19" ht="24.25">
      <c r="A21" s="1122" t="s">
        <v>252</v>
      </c>
      <c r="B21" s="1127" t="s">
        <v>243</v>
      </c>
      <c r="C21" s="1128" t="e">
        <f>'[2]Silver Plan "2" '!M24</f>
        <v>#REF!</v>
      </c>
      <c r="D21" s="1894" t="s">
        <v>244</v>
      </c>
      <c r="E21" s="1894"/>
      <c r="F21" s="1894"/>
      <c r="G21" s="1129" t="e">
        <f>C21-G2</f>
        <v>#REF!</v>
      </c>
      <c r="I21" s="1109"/>
      <c r="J21" s="1631" t="s">
        <v>253</v>
      </c>
      <c r="K21" s="1631"/>
      <c r="L21" s="1130" t="e">
        <f>'[2]Silver Plan "2" '!M49</f>
        <v>#REF!</v>
      </c>
      <c r="M21" s="1131" t="s">
        <v>246</v>
      </c>
      <c r="N21" s="1132" t="e">
        <f>L21-G2</f>
        <v>#REF!</v>
      </c>
      <c r="O21" s="724"/>
      <c r="P21" s="728"/>
    </row>
    <row r="22" spans="1:19" ht="23.6">
      <c r="I22" s="156"/>
      <c r="J22" s="937"/>
      <c r="K22" s="938"/>
      <c r="L22" s="937"/>
      <c r="M22" s="932"/>
      <c r="O22" s="724"/>
      <c r="P22" s="728"/>
    </row>
    <row r="23" spans="1:19" ht="20.3">
      <c r="A23" s="1122" t="s">
        <v>254</v>
      </c>
      <c r="B23" s="1127" t="s">
        <v>243</v>
      </c>
      <c r="C23" s="1128" t="e">
        <f>'[2]Silver Plan "2" '!M34</f>
        <v>#REF!</v>
      </c>
      <c r="D23" s="1894" t="s">
        <v>244</v>
      </c>
      <c r="E23" s="1894"/>
      <c r="F23" s="1894"/>
      <c r="G23" s="1135" t="e">
        <f>C23-G2</f>
        <v>#REF!</v>
      </c>
      <c r="I23" s="153"/>
      <c r="J23" s="1622" t="s">
        <v>255</v>
      </c>
      <c r="K23" s="1622"/>
      <c r="L23" s="1128" t="e">
        <f>'[2]Silver Plan "2" '!M54</f>
        <v>#REF!</v>
      </c>
      <c r="M23" s="1131" t="s">
        <v>248</v>
      </c>
      <c r="N23" s="1132" t="e">
        <f>L23-G2</f>
        <v>#REF!</v>
      </c>
      <c r="O23" s="724"/>
      <c r="P23" s="728"/>
    </row>
    <row r="24" spans="1:19" ht="24.25">
      <c r="I24" s="1107"/>
      <c r="J24" s="1107"/>
      <c r="K24" s="1107"/>
      <c r="L24" s="1107"/>
      <c r="M24" s="1107"/>
      <c r="O24" s="724"/>
      <c r="P24" s="728"/>
    </row>
    <row r="25" spans="1:19" ht="20.3">
      <c r="A25" s="1122" t="s">
        <v>249</v>
      </c>
      <c r="B25" s="1127" t="s">
        <v>243</v>
      </c>
      <c r="C25" s="1028" t="e">
        <f>'[2]Silver Plan "2" '!M44</f>
        <v>#REF!</v>
      </c>
      <c r="D25" s="1894" t="s">
        <v>244</v>
      </c>
      <c r="E25" s="1894"/>
      <c r="F25" s="1894"/>
      <c r="G25" s="1135" t="e">
        <f>C25-G2</f>
        <v>#REF!</v>
      </c>
      <c r="I25" s="1108"/>
      <c r="J25" s="1628"/>
      <c r="K25" s="1628"/>
      <c r="L25" s="1628"/>
      <c r="M25" s="1628"/>
      <c r="N25" s="1628"/>
      <c r="O25" s="724"/>
      <c r="P25" s="728"/>
    </row>
    <row r="26" spans="1:19" ht="17.55" customHeight="1">
      <c r="I26" s="931"/>
      <c r="J26" s="722"/>
      <c r="K26" s="236"/>
      <c r="L26" s="236"/>
      <c r="M26" s="737"/>
      <c r="O26" s="724"/>
      <c r="P26" s="728"/>
    </row>
    <row r="27" spans="1:19" ht="18" customHeight="1">
      <c r="I27" s="932"/>
      <c r="J27" s="933"/>
      <c r="K27" s="935"/>
      <c r="L27" s="936"/>
      <c r="M27" s="738"/>
      <c r="O27" s="724"/>
      <c r="P27" s="728"/>
    </row>
    <row r="28" spans="1:19" ht="18" customHeight="1">
      <c r="I28" s="256"/>
      <c r="J28" s="678"/>
      <c r="K28" s="934"/>
      <c r="L28" s="934"/>
      <c r="M28" s="937"/>
      <c r="O28" s="724"/>
      <c r="P28" s="728"/>
    </row>
    <row r="29" spans="1:19" ht="18" customHeight="1">
      <c r="I29" s="635"/>
      <c r="J29" s="71"/>
      <c r="K29" s="670"/>
      <c r="L29" s="670"/>
      <c r="M29" s="740"/>
      <c r="O29" s="724"/>
      <c r="P29" s="728"/>
    </row>
    <row r="30" spans="1:19" ht="18.649999999999999" customHeight="1">
      <c r="I30" s="1109"/>
      <c r="J30" s="1109"/>
      <c r="K30" s="1109"/>
      <c r="L30" s="1109"/>
      <c r="M30" s="1109"/>
      <c r="O30" s="724"/>
      <c r="P30" s="728"/>
    </row>
    <row r="31" spans="1:19" ht="23.6">
      <c r="I31" s="156"/>
      <c r="J31" s="937"/>
      <c r="K31" s="938"/>
      <c r="L31" s="937"/>
      <c r="M31" s="932"/>
      <c r="N31" s="89"/>
      <c r="O31" s="729"/>
      <c r="P31" s="730"/>
    </row>
    <row r="33" spans="9:13" ht="20.3">
      <c r="I33" s="1624"/>
      <c r="J33" s="1625"/>
      <c r="K33" s="1625"/>
      <c r="L33" s="1625"/>
      <c r="M33" s="1625"/>
    </row>
    <row r="34" spans="9:13" ht="20.3">
      <c r="I34" s="1626"/>
      <c r="J34" s="1626"/>
      <c r="K34" s="1626"/>
      <c r="L34" s="1626"/>
      <c r="M34" s="1626"/>
    </row>
    <row r="36" spans="9:13" ht="18.649999999999999" customHeight="1">
      <c r="I36" s="1620"/>
      <c r="J36" s="1620"/>
      <c r="K36" s="1620"/>
      <c r="L36" s="1620"/>
      <c r="M36" s="1620"/>
    </row>
    <row r="37" spans="9:13" ht="18.649999999999999" customHeight="1">
      <c r="I37" s="383"/>
      <c r="J37" s="383"/>
      <c r="K37" s="701"/>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75"/>
      <c r="J41" s="1575"/>
      <c r="K41" s="1575"/>
      <c r="L41" s="1575"/>
      <c r="M41" s="157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99</v>
      </c>
    </row>
  </sheetData>
  <mergeCells count="44">
    <mergeCell ref="H15:I15"/>
    <mergeCell ref="H17:I17"/>
    <mergeCell ref="H6:I6"/>
    <mergeCell ref="H7:I7"/>
    <mergeCell ref="H9:I9"/>
    <mergeCell ref="H13:I13"/>
    <mergeCell ref="H14:I14"/>
    <mergeCell ref="A1:M1"/>
    <mergeCell ref="C2:F2"/>
    <mergeCell ref="G2:I2"/>
    <mergeCell ref="J2:K2"/>
    <mergeCell ref="A4:G4"/>
    <mergeCell ref="J4:N4"/>
    <mergeCell ref="H4:I4"/>
    <mergeCell ref="D15:F15"/>
    <mergeCell ref="J15:K15"/>
    <mergeCell ref="D5:F5"/>
    <mergeCell ref="J5:K5"/>
    <mergeCell ref="D7:F7"/>
    <mergeCell ref="J7:K7"/>
    <mergeCell ref="I8:J8"/>
    <mergeCell ref="D9:F9"/>
    <mergeCell ref="J9:N9"/>
    <mergeCell ref="I11:J11"/>
    <mergeCell ref="A12:G12"/>
    <mergeCell ref="J12:N12"/>
    <mergeCell ref="D13:F13"/>
    <mergeCell ref="J13:K13"/>
    <mergeCell ref="H12:I12"/>
    <mergeCell ref="H5:I5"/>
    <mergeCell ref="D17:F17"/>
    <mergeCell ref="J17:N17"/>
    <mergeCell ref="A20:G20"/>
    <mergeCell ref="J20:N20"/>
    <mergeCell ref="D21:F21"/>
    <mergeCell ref="J21:K21"/>
    <mergeCell ref="I36:M36"/>
    <mergeCell ref="I41:M41"/>
    <mergeCell ref="D23:F23"/>
    <mergeCell ref="J23:K23"/>
    <mergeCell ref="D25:F25"/>
    <mergeCell ref="J25:N25"/>
    <mergeCell ref="I33:M33"/>
    <mergeCell ref="I34:M34"/>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913" t="s">
        <v>549</v>
      </c>
      <c r="E1" s="1914"/>
      <c r="F1" s="1914"/>
      <c r="G1" s="1914"/>
      <c r="H1" s="1914"/>
      <c r="I1" s="1914"/>
      <c r="J1" s="1914"/>
      <c r="K1" s="1030" t="s">
        <v>396</v>
      </c>
      <c r="L1" s="1721" t="s">
        <v>397</v>
      </c>
      <c r="M1" s="1721"/>
    </row>
    <row r="2" spans="1:13" ht="24.25">
      <c r="A2" s="296" t="e">
        <f>#REF!</f>
        <v>#REF!</v>
      </c>
      <c r="B2" s="298" t="e">
        <f>#REF!</f>
        <v>#REF!</v>
      </c>
      <c r="C2" s="297" t="e">
        <f>#REF!</f>
        <v>#REF!</v>
      </c>
      <c r="D2" s="1915"/>
      <c r="E2" s="1915"/>
      <c r="F2" s="1915"/>
      <c r="G2" s="1915"/>
      <c r="H2" s="1915"/>
      <c r="I2" s="1915"/>
      <c r="J2" s="1915"/>
      <c r="K2" s="1031" t="s">
        <v>160</v>
      </c>
      <c r="L2" s="1721" t="s">
        <v>398</v>
      </c>
      <c r="M2" s="1721"/>
    </row>
    <row r="3" spans="1:13" ht="26.2">
      <c r="A3" s="34"/>
      <c r="B3" s="118"/>
      <c r="C3" s="35"/>
      <c r="D3" s="1916"/>
      <c r="E3" s="1916"/>
      <c r="F3" s="1916"/>
      <c r="G3" s="1916"/>
      <c r="H3" s="1916"/>
      <c r="I3" s="1916"/>
      <c r="J3" s="1916"/>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D3</f>
        <v>0</v>
      </c>
      <c r="K15" s="236">
        <f>D3</f>
        <v>0</v>
      </c>
      <c r="L15" s="236">
        <f>D3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516</v>
      </c>
      <c r="B1" s="1564"/>
      <c r="C1" s="1564"/>
      <c r="D1" s="1565"/>
      <c r="E1" s="1018" t="s">
        <v>42</v>
      </c>
      <c r="F1" s="1566" t="s">
        <v>517</v>
      </c>
      <c r="G1" s="1567"/>
      <c r="H1" s="1568"/>
      <c r="I1" s="1018" t="s">
        <v>44</v>
      </c>
      <c r="J1" s="1859" t="s">
        <v>518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21199</v>
      </c>
      <c r="G3" s="1008">
        <v>64</v>
      </c>
      <c r="H3" s="1012" t="s">
        <v>411</v>
      </c>
      <c r="I3" s="1008">
        <v>67</v>
      </c>
      <c r="J3" s="1016">
        <f>I3-G3</f>
        <v>3</v>
      </c>
      <c r="K3" s="1033" t="s">
        <v>47</v>
      </c>
      <c r="L3" s="192"/>
      <c r="Q3" s="89"/>
    </row>
    <row r="4" spans="1:17" ht="17.7">
      <c r="C4" s="1173">
        <f ca="1">TODAY()</f>
        <v>46198</v>
      </c>
      <c r="E4" s="1065" t="s">
        <v>374</v>
      </c>
      <c r="F4" s="1007">
        <v>21833</v>
      </c>
      <c r="G4" s="1008">
        <v>62</v>
      </c>
      <c r="H4" s="1065" t="s">
        <v>373</v>
      </c>
      <c r="I4" s="1008">
        <v>67</v>
      </c>
      <c r="J4" s="971">
        <f>I4-G4</f>
        <v>5</v>
      </c>
      <c r="K4" s="1065" t="s">
        <v>47</v>
      </c>
    </row>
    <row r="5" spans="1:17" s="89" customFormat="1" ht="20.3">
      <c r="B5" s="208"/>
      <c r="C5" s="970">
        <v>2020</v>
      </c>
      <c r="D5" s="192"/>
      <c r="E5" s="925"/>
      <c r="F5" s="925"/>
      <c r="G5" s="192"/>
      <c r="H5" s="192"/>
      <c r="I5" s="969"/>
      <c r="J5" s="192"/>
      <c r="K5" s="192"/>
      <c r="L5" s="969"/>
      <c r="M5" s="371"/>
      <c r="N5" s="192"/>
    </row>
    <row r="6" spans="1:17" s="89" customFormat="1" ht="17.7">
      <c r="A6" s="1788" t="s">
        <v>375</v>
      </c>
      <c r="B6" s="1789"/>
      <c r="C6" s="1790"/>
      <c r="D6" s="1009">
        <v>5416.67</v>
      </c>
      <c r="E6" s="1791" t="s">
        <v>376</v>
      </c>
      <c r="F6" s="1741"/>
      <c r="G6" s="968" t="s">
        <v>377</v>
      </c>
      <c r="H6" s="968" t="s">
        <v>377</v>
      </c>
      <c r="J6" s="968" t="s">
        <v>377</v>
      </c>
      <c r="K6" s="974"/>
      <c r="N6" s="16"/>
      <c r="O6" s="16"/>
    </row>
    <row r="7" spans="1:17" s="89" customFormat="1" ht="17.7">
      <c r="A7" s="1854" t="s">
        <v>378</v>
      </c>
      <c r="B7" s="1855"/>
      <c r="C7" s="1856"/>
      <c r="D7" s="1009">
        <v>0</v>
      </c>
      <c r="E7" s="1857" t="s">
        <v>379</v>
      </c>
      <c r="F7" s="1858"/>
      <c r="G7" s="968" t="s">
        <v>519</v>
      </c>
      <c r="H7" s="968" t="s">
        <v>519</v>
      </c>
      <c r="I7" s="1015">
        <f>D6+D7</f>
        <v>5416.67</v>
      </c>
      <c r="J7" s="968" t="s">
        <v>380</v>
      </c>
      <c r="K7" s="972">
        <f>I7*12</f>
        <v>65000.04</v>
      </c>
      <c r="O7" s="16"/>
    </row>
    <row r="10" spans="1:17" ht="17.7">
      <c r="A10" s="1524" t="s">
        <v>50</v>
      </c>
      <c r="B10" s="1524"/>
      <c r="C10" s="1524"/>
      <c r="D10" s="1524"/>
      <c r="E10" s="1010">
        <v>5833</v>
      </c>
      <c r="F10" s="966">
        <f>E10*12</f>
        <v>69996</v>
      </c>
      <c r="G10" s="192"/>
      <c r="H10" s="192"/>
      <c r="I10" s="973">
        <f>F10*1.25</f>
        <v>87495</v>
      </c>
      <c r="J10" s="1734" t="s">
        <v>520</v>
      </c>
      <c r="K10" s="1734"/>
      <c r="L10" s="1734"/>
      <c r="M10" s="1734"/>
      <c r="N10" s="1734"/>
      <c r="O10" s="16"/>
    </row>
    <row r="11" spans="1:17" s="89" customFormat="1" ht="20.3">
      <c r="B11" s="208"/>
      <c r="C11" s="970"/>
      <c r="D11" s="192"/>
      <c r="E11" s="925"/>
      <c r="F11" s="925"/>
      <c r="G11" s="192"/>
      <c r="H11" s="192"/>
      <c r="I11" s="969"/>
      <c r="J11" s="192"/>
      <c r="K11" s="192"/>
      <c r="L11" s="969"/>
      <c r="M11" s="371"/>
      <c r="N11" s="192"/>
    </row>
    <row r="12" spans="1:17" ht="18" customHeight="1">
      <c r="A12" s="1742" t="s">
        <v>383</v>
      </c>
      <c r="B12" s="1743"/>
      <c r="C12" s="1744"/>
      <c r="D12" s="1010">
        <v>2746</v>
      </c>
      <c r="E12" s="1013" t="s">
        <v>12</v>
      </c>
      <c r="F12" s="1011">
        <v>67</v>
      </c>
      <c r="G12" s="1745" t="s">
        <v>54</v>
      </c>
      <c r="H12" s="1746"/>
      <c r="I12" s="1021">
        <f>D12*12</f>
        <v>32952</v>
      </c>
      <c r="J12" s="1553" t="s">
        <v>55</v>
      </c>
      <c r="K12" s="1553"/>
      <c r="L12" s="1553"/>
      <c r="M12" s="1553"/>
      <c r="N12" s="1553"/>
      <c r="O12" s="1553"/>
    </row>
    <row r="13" spans="1:17" ht="17.7">
      <c r="A13" s="1866" t="s">
        <v>521</v>
      </c>
      <c r="B13" s="1867"/>
      <c r="C13" s="1868"/>
      <c r="D13" s="1010">
        <v>1373</v>
      </c>
      <c r="E13" s="1066" t="s">
        <v>12</v>
      </c>
      <c r="F13" s="1011">
        <v>67</v>
      </c>
      <c r="G13" s="1869" t="s">
        <v>54</v>
      </c>
      <c r="H13" s="1870"/>
      <c r="I13" s="973">
        <f>D13*12</f>
        <v>16476</v>
      </c>
      <c r="J13" s="1552" t="s">
        <v>522</v>
      </c>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919" t="s">
        <v>550</v>
      </c>
      <c r="B15" s="1919"/>
      <c r="C15" s="1919"/>
      <c r="D15" s="1919"/>
      <c r="E15" s="1919"/>
      <c r="F15" s="1919"/>
      <c r="G15" s="1919"/>
      <c r="H15" s="1919"/>
      <c r="I15" s="1919"/>
      <c r="J15" s="1919"/>
      <c r="K15" s="1919"/>
      <c r="L15" s="1919"/>
      <c r="M15" s="1919"/>
      <c r="N15" s="1919"/>
      <c r="O15" s="1920"/>
    </row>
    <row r="16" spans="1:17" ht="23.6">
      <c r="A16" s="1543" t="s">
        <v>57</v>
      </c>
      <c r="B16" s="1544"/>
      <c r="C16" s="1544"/>
      <c r="D16" s="1544"/>
      <c r="E16" s="1544"/>
      <c r="F16" s="1544"/>
      <c r="G16" s="1544"/>
      <c r="H16" s="1544"/>
      <c r="I16" s="1544"/>
      <c r="J16" s="1544"/>
      <c r="K16" s="1544"/>
      <c r="L16" s="1544"/>
      <c r="M16" s="1544"/>
      <c r="N16" s="1544"/>
      <c r="O16" s="1545"/>
      <c r="P16" s="89"/>
    </row>
    <row r="17" spans="1:23" s="37" customFormat="1" ht="100" customHeight="1">
      <c r="A17" s="1110"/>
      <c r="B17" s="1110"/>
      <c r="C17" s="1110"/>
      <c r="D17" s="1027" t="s">
        <v>413</v>
      </c>
      <c r="E17" s="1046" t="s">
        <v>524</v>
      </c>
      <c r="F17" s="36"/>
      <c r="G17" s="1183" t="s">
        <v>551</v>
      </c>
      <c r="H17" s="1184" t="s">
        <v>552</v>
      </c>
      <c r="I17" s="1185" t="s">
        <v>553</v>
      </c>
      <c r="J17" s="36"/>
      <c r="K17" s="36"/>
      <c r="L17" s="36"/>
      <c r="M17" s="1067" t="s">
        <v>65</v>
      </c>
      <c r="N17" s="1014" t="s">
        <v>414</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149"/>
      <c r="G19" s="1093">
        <v>1</v>
      </c>
      <c r="H19" s="1176">
        <v>1</v>
      </c>
      <c r="I19" s="1179">
        <v>1</v>
      </c>
      <c r="J19" s="1154"/>
      <c r="K19" s="1154"/>
      <c r="L19" s="1154"/>
      <c r="M19" s="992"/>
      <c r="N19" s="992"/>
      <c r="O19" s="993"/>
    </row>
    <row r="20" spans="1:23">
      <c r="A20" s="1860"/>
      <c r="B20" s="1860"/>
      <c r="C20" s="1861"/>
      <c r="D20" s="976">
        <f>F12</f>
        <v>67</v>
      </c>
      <c r="E20" s="976">
        <f>F13</f>
        <v>67</v>
      </c>
      <c r="F20" s="1105"/>
      <c r="G20" s="1095">
        <v>67</v>
      </c>
      <c r="H20" s="1177">
        <v>68</v>
      </c>
      <c r="I20" s="1180">
        <v>69</v>
      </c>
      <c r="J20" s="1105"/>
      <c r="K20" s="1105"/>
      <c r="L20" s="1105"/>
      <c r="M20" s="990"/>
      <c r="N20" s="989"/>
      <c r="O20" s="994"/>
    </row>
    <row r="21" spans="1:23" ht="16.05" customHeight="1">
      <c r="A21" s="1749" t="s">
        <v>26</v>
      </c>
      <c r="B21" s="1813" t="s">
        <v>390</v>
      </c>
      <c r="C21" s="1862" t="s">
        <v>58</v>
      </c>
      <c r="D21" s="975">
        <f>I12</f>
        <v>32952</v>
      </c>
      <c r="E21" s="975">
        <f>I13</f>
        <v>16476</v>
      </c>
      <c r="F21" s="975"/>
      <c r="G21" s="1096">
        <v>532400</v>
      </c>
      <c r="H21" s="1178">
        <v>140800</v>
      </c>
      <c r="I21" s="1181">
        <v>148500</v>
      </c>
      <c r="J21" s="975"/>
      <c r="K21" s="975"/>
      <c r="L21" s="975"/>
      <c r="M21" s="990"/>
      <c r="N21" s="989"/>
      <c r="O21" s="994"/>
    </row>
    <row r="22" spans="1:23" ht="16.05" customHeight="1">
      <c r="A22" s="1750"/>
      <c r="B22" s="1814"/>
      <c r="C22" s="1863"/>
      <c r="D22" s="1917"/>
      <c r="E22" s="1917"/>
      <c r="F22" s="1917"/>
      <c r="G22" s="1917"/>
      <c r="H22" s="1917"/>
      <c r="I22" s="1917"/>
      <c r="J22" s="1917"/>
      <c r="K22" s="1917"/>
      <c r="L22" s="1918"/>
      <c r="M22" s="991"/>
      <c r="N22" s="208"/>
      <c r="O22" s="995"/>
    </row>
    <row r="23" spans="1:23" ht="14.4">
      <c r="A23" s="979" t="s">
        <v>527</v>
      </c>
      <c r="B23" s="1051">
        <f>G3</f>
        <v>64</v>
      </c>
      <c r="C23" s="1057">
        <f>G4</f>
        <v>62</v>
      </c>
      <c r="D23" s="982">
        <v>0</v>
      </c>
      <c r="E23" s="982">
        <v>0</v>
      </c>
      <c r="F23" s="982">
        <v>0</v>
      </c>
      <c r="G23" s="982">
        <v>0</v>
      </c>
      <c r="H23" s="982">
        <v>0</v>
      </c>
      <c r="I23" s="982">
        <v>0</v>
      </c>
      <c r="J23" s="982">
        <v>0</v>
      </c>
      <c r="K23" s="982">
        <v>0</v>
      </c>
      <c r="L23" s="982">
        <v>0</v>
      </c>
      <c r="M23" s="980">
        <f>D23+E23+F23+G23+H23+I23+J23+K23+L23</f>
        <v>0</v>
      </c>
      <c r="N23" s="967">
        <f>I10</f>
        <v>87495</v>
      </c>
      <c r="O23" s="977">
        <f>M23-N24</f>
        <v>-87495</v>
      </c>
    </row>
    <row r="24" spans="1:23" ht="14.4">
      <c r="A24" s="119">
        <f t="shared" ref="A24:C39" si="0">A23+1</f>
        <v>2023</v>
      </c>
      <c r="B24" s="1052">
        <f t="shared" si="0"/>
        <v>65</v>
      </c>
      <c r="C24" s="1058">
        <f t="shared" si="0"/>
        <v>63</v>
      </c>
      <c r="D24" s="982">
        <v>0</v>
      </c>
      <c r="E24" s="982">
        <v>0</v>
      </c>
      <c r="F24" s="982">
        <v>0</v>
      </c>
      <c r="G24" s="982">
        <v>0</v>
      </c>
      <c r="H24" s="982">
        <v>0</v>
      </c>
      <c r="I24" s="982">
        <v>0</v>
      </c>
      <c r="J24" s="982">
        <v>0</v>
      </c>
      <c r="K24" s="982">
        <v>0</v>
      </c>
      <c r="L24" s="982">
        <v>0</v>
      </c>
      <c r="M24" s="980">
        <f t="shared" ref="M24:M40" si="1">D24+E24+F24+G24+H24+I24+J24+K24+L24</f>
        <v>0</v>
      </c>
      <c r="N24" s="967">
        <f>I10</f>
        <v>87495</v>
      </c>
      <c r="O24" s="977">
        <f t="shared" ref="O24:O51" si="2">M24-N25</f>
        <v>-87495</v>
      </c>
    </row>
    <row r="25" spans="1:23" ht="14.4">
      <c r="A25" s="155">
        <f t="shared" si="0"/>
        <v>2024</v>
      </c>
      <c r="B25" s="1053">
        <f t="shared" si="0"/>
        <v>66</v>
      </c>
      <c r="C25" s="1057">
        <f t="shared" si="0"/>
        <v>64</v>
      </c>
      <c r="D25" s="982">
        <v>0</v>
      </c>
      <c r="E25" s="982">
        <v>0</v>
      </c>
      <c r="F25" s="982">
        <v>0</v>
      </c>
      <c r="G25" s="982">
        <v>0</v>
      </c>
      <c r="H25" s="982">
        <v>0</v>
      </c>
      <c r="I25" s="982">
        <v>0</v>
      </c>
      <c r="J25" s="982">
        <v>0</v>
      </c>
      <c r="K25" s="982">
        <v>0</v>
      </c>
      <c r="L25" s="982">
        <v>0</v>
      </c>
      <c r="M25" s="980">
        <f t="shared" si="1"/>
        <v>0</v>
      </c>
      <c r="N25" s="967">
        <f>I10</f>
        <v>87495</v>
      </c>
      <c r="O25" s="977">
        <f t="shared" si="2"/>
        <v>-87495</v>
      </c>
    </row>
    <row r="26" spans="1:23" ht="14.4">
      <c r="A26" s="119">
        <f t="shared" si="0"/>
        <v>2025</v>
      </c>
      <c r="B26" s="1054">
        <f t="shared" si="0"/>
        <v>67</v>
      </c>
      <c r="C26" s="1059">
        <f t="shared" si="0"/>
        <v>65</v>
      </c>
      <c r="D26" s="1026">
        <v>32952</v>
      </c>
      <c r="E26" s="982">
        <v>0</v>
      </c>
      <c r="F26" s="982">
        <v>0</v>
      </c>
      <c r="G26" s="719">
        <v>26354</v>
      </c>
      <c r="H26" s="982">
        <v>0</v>
      </c>
      <c r="I26" s="982">
        <v>0</v>
      </c>
      <c r="J26" s="982">
        <v>0</v>
      </c>
      <c r="K26" s="982">
        <v>0</v>
      </c>
      <c r="L26" s="982">
        <v>0</v>
      </c>
      <c r="M26" s="980">
        <f t="shared" si="1"/>
        <v>59306</v>
      </c>
      <c r="N26" s="967">
        <f>I10</f>
        <v>87495</v>
      </c>
      <c r="O26" s="977">
        <f t="shared" si="2"/>
        <v>-28189</v>
      </c>
    </row>
    <row r="27" spans="1:23" ht="14.4">
      <c r="A27" s="119">
        <f t="shared" si="0"/>
        <v>2026</v>
      </c>
      <c r="B27" s="1053">
        <f t="shared" si="0"/>
        <v>68</v>
      </c>
      <c r="C27" s="1057">
        <f t="shared" si="0"/>
        <v>66</v>
      </c>
      <c r="D27" s="1026">
        <v>32952</v>
      </c>
      <c r="E27" s="982">
        <v>0</v>
      </c>
      <c r="F27" s="982">
        <v>0</v>
      </c>
      <c r="G27" s="719">
        <v>26354</v>
      </c>
      <c r="H27" s="1174">
        <v>6970</v>
      </c>
      <c r="I27" s="982">
        <v>0</v>
      </c>
      <c r="J27" s="982">
        <v>0</v>
      </c>
      <c r="K27" s="982">
        <v>0</v>
      </c>
      <c r="L27" s="982">
        <v>0</v>
      </c>
      <c r="M27" s="980">
        <f t="shared" si="1"/>
        <v>66276</v>
      </c>
      <c r="N27" s="967">
        <f>I10</f>
        <v>87495</v>
      </c>
      <c r="O27" s="977">
        <f t="shared" si="2"/>
        <v>-21219</v>
      </c>
    </row>
    <row r="28" spans="1:23" ht="14.4">
      <c r="A28" s="119">
        <f t="shared" si="0"/>
        <v>2027</v>
      </c>
      <c r="B28" s="1052">
        <f t="shared" si="0"/>
        <v>69</v>
      </c>
      <c r="C28" s="1060">
        <f t="shared" si="0"/>
        <v>67</v>
      </c>
      <c r="D28" s="1026">
        <v>32952</v>
      </c>
      <c r="E28" s="1025">
        <v>16476</v>
      </c>
      <c r="F28" s="982">
        <v>0</v>
      </c>
      <c r="G28" s="719">
        <v>26354</v>
      </c>
      <c r="H28" s="1174">
        <v>6970</v>
      </c>
      <c r="I28" s="1175">
        <v>7351</v>
      </c>
      <c r="J28" s="982">
        <v>0</v>
      </c>
      <c r="K28" s="982">
        <v>0</v>
      </c>
      <c r="L28" s="982">
        <v>0</v>
      </c>
      <c r="M28" s="980">
        <f t="shared" si="1"/>
        <v>90103</v>
      </c>
      <c r="N28" s="967">
        <f>I10</f>
        <v>87495</v>
      </c>
      <c r="O28" s="977">
        <f t="shared" si="2"/>
        <v>2608</v>
      </c>
    </row>
    <row r="29" spans="1:23" ht="14.4">
      <c r="A29" s="155">
        <f t="shared" si="0"/>
        <v>2028</v>
      </c>
      <c r="B29" s="1053">
        <f t="shared" si="0"/>
        <v>70</v>
      </c>
      <c r="C29" s="1057">
        <f t="shared" si="0"/>
        <v>68</v>
      </c>
      <c r="D29" s="1026">
        <v>32952</v>
      </c>
      <c r="E29" s="1025">
        <v>16476</v>
      </c>
      <c r="F29" s="982">
        <v>0</v>
      </c>
      <c r="G29" s="719">
        <v>26354</v>
      </c>
      <c r="H29" s="1174">
        <v>6970</v>
      </c>
      <c r="I29" s="1175">
        <v>7351</v>
      </c>
      <c r="J29" s="982">
        <v>0</v>
      </c>
      <c r="K29" s="982">
        <v>0</v>
      </c>
      <c r="L29" s="982">
        <v>0</v>
      </c>
      <c r="M29" s="980">
        <f t="shared" si="1"/>
        <v>90103</v>
      </c>
      <c r="N29" s="967">
        <f>I10</f>
        <v>87495</v>
      </c>
      <c r="O29" s="977">
        <f t="shared" si="2"/>
        <v>2608</v>
      </c>
    </row>
    <row r="30" spans="1:23" ht="14.4">
      <c r="A30" s="119">
        <f t="shared" si="0"/>
        <v>2029</v>
      </c>
      <c r="B30" s="1054">
        <f t="shared" si="0"/>
        <v>71</v>
      </c>
      <c r="C30" s="1059">
        <f t="shared" si="0"/>
        <v>69</v>
      </c>
      <c r="D30" s="1026">
        <v>32952</v>
      </c>
      <c r="E30" s="1025">
        <v>16476</v>
      </c>
      <c r="F30" s="982">
        <v>0</v>
      </c>
      <c r="G30" s="719">
        <v>26354</v>
      </c>
      <c r="H30" s="1174">
        <v>6970</v>
      </c>
      <c r="I30" s="1175">
        <v>7351</v>
      </c>
      <c r="J30" s="982">
        <v>0</v>
      </c>
      <c r="K30" s="982">
        <v>0</v>
      </c>
      <c r="L30" s="982">
        <v>0</v>
      </c>
      <c r="M30" s="980">
        <f t="shared" si="1"/>
        <v>90103</v>
      </c>
      <c r="N30" s="967">
        <f>I10</f>
        <v>87495</v>
      </c>
      <c r="O30" s="977">
        <f t="shared" si="2"/>
        <v>2608</v>
      </c>
    </row>
    <row r="31" spans="1:23" ht="14.4">
      <c r="A31" s="119">
        <f t="shared" si="0"/>
        <v>2030</v>
      </c>
      <c r="B31" s="1053">
        <f t="shared" si="0"/>
        <v>72</v>
      </c>
      <c r="C31" s="1057">
        <f t="shared" si="0"/>
        <v>70</v>
      </c>
      <c r="D31" s="1026">
        <v>32952</v>
      </c>
      <c r="E31" s="1025">
        <v>16476</v>
      </c>
      <c r="F31" s="982">
        <v>0</v>
      </c>
      <c r="G31" s="719">
        <v>26354</v>
      </c>
      <c r="H31" s="1174">
        <v>6970</v>
      </c>
      <c r="I31" s="1175">
        <v>7351</v>
      </c>
      <c r="J31" s="982">
        <v>0</v>
      </c>
      <c r="K31" s="982">
        <v>0</v>
      </c>
      <c r="L31" s="982">
        <v>0</v>
      </c>
      <c r="M31" s="980">
        <f t="shared" si="1"/>
        <v>90103</v>
      </c>
      <c r="N31" s="967">
        <f>I10</f>
        <v>87495</v>
      </c>
      <c r="O31" s="977">
        <f t="shared" si="2"/>
        <v>2608</v>
      </c>
    </row>
    <row r="32" spans="1:23" ht="14.4">
      <c r="A32" s="119">
        <f t="shared" si="0"/>
        <v>2031</v>
      </c>
      <c r="B32" s="1053">
        <f t="shared" si="0"/>
        <v>73</v>
      </c>
      <c r="C32" s="1057">
        <f t="shared" si="0"/>
        <v>71</v>
      </c>
      <c r="D32" s="1026">
        <v>32952</v>
      </c>
      <c r="E32" s="1025">
        <v>16476</v>
      </c>
      <c r="F32" s="982">
        <v>0</v>
      </c>
      <c r="G32" s="719">
        <v>26354</v>
      </c>
      <c r="H32" s="1174">
        <v>6970</v>
      </c>
      <c r="I32" s="1175">
        <v>7351</v>
      </c>
      <c r="J32" s="982">
        <v>0</v>
      </c>
      <c r="K32" s="982">
        <v>0</v>
      </c>
      <c r="L32" s="982">
        <v>0</v>
      </c>
      <c r="M32" s="980">
        <f t="shared" si="1"/>
        <v>90103</v>
      </c>
      <c r="N32" s="967">
        <f>I10</f>
        <v>87495</v>
      </c>
      <c r="O32" s="977">
        <f t="shared" si="2"/>
        <v>2608</v>
      </c>
    </row>
    <row r="33" spans="1:15" ht="14.4">
      <c r="A33" s="119">
        <f t="shared" si="0"/>
        <v>2032</v>
      </c>
      <c r="B33" s="1053">
        <f t="shared" si="0"/>
        <v>74</v>
      </c>
      <c r="C33" s="1057">
        <f t="shared" si="0"/>
        <v>72</v>
      </c>
      <c r="D33" s="1026">
        <v>32952</v>
      </c>
      <c r="E33" s="1025">
        <v>16476</v>
      </c>
      <c r="F33" s="982">
        <v>0</v>
      </c>
      <c r="G33" s="719">
        <v>26354</v>
      </c>
      <c r="H33" s="1174">
        <v>6970</v>
      </c>
      <c r="I33" s="1175">
        <v>7351</v>
      </c>
      <c r="J33" s="982">
        <v>0</v>
      </c>
      <c r="K33" s="982">
        <v>0</v>
      </c>
      <c r="L33" s="982">
        <v>0</v>
      </c>
      <c r="M33" s="980">
        <f t="shared" si="1"/>
        <v>90103</v>
      </c>
      <c r="N33" s="967">
        <f>I10</f>
        <v>87495</v>
      </c>
      <c r="O33" s="977">
        <f t="shared" si="2"/>
        <v>2608</v>
      </c>
    </row>
    <row r="34" spans="1:15" ht="14.4">
      <c r="A34" s="119">
        <f t="shared" si="0"/>
        <v>2033</v>
      </c>
      <c r="B34" s="1053">
        <f t="shared" si="0"/>
        <v>75</v>
      </c>
      <c r="C34" s="1057">
        <f t="shared" si="0"/>
        <v>73</v>
      </c>
      <c r="D34" s="1026">
        <v>32952</v>
      </c>
      <c r="E34" s="1025">
        <v>16476</v>
      </c>
      <c r="F34" s="982">
        <v>0</v>
      </c>
      <c r="G34" s="719">
        <v>26354</v>
      </c>
      <c r="H34" s="1174">
        <v>6970</v>
      </c>
      <c r="I34" s="1175">
        <v>7351</v>
      </c>
      <c r="J34" s="982">
        <v>0</v>
      </c>
      <c r="K34" s="982">
        <v>0</v>
      </c>
      <c r="L34" s="982">
        <v>0</v>
      </c>
      <c r="M34" s="980">
        <f t="shared" si="1"/>
        <v>90103</v>
      </c>
      <c r="N34" s="967">
        <f>I10</f>
        <v>87495</v>
      </c>
      <c r="O34" s="977">
        <f t="shared" si="2"/>
        <v>2608</v>
      </c>
    </row>
    <row r="35" spans="1:15" ht="14.4">
      <c r="A35" s="119">
        <f t="shared" si="0"/>
        <v>2034</v>
      </c>
      <c r="B35" s="1053">
        <f t="shared" si="0"/>
        <v>76</v>
      </c>
      <c r="C35" s="1057">
        <f t="shared" si="0"/>
        <v>74</v>
      </c>
      <c r="D35" s="1026">
        <v>32952</v>
      </c>
      <c r="E35" s="1025">
        <v>16476</v>
      </c>
      <c r="F35" s="982">
        <v>0</v>
      </c>
      <c r="G35" s="719">
        <v>26354</v>
      </c>
      <c r="H35" s="1174">
        <v>6970</v>
      </c>
      <c r="I35" s="1175">
        <v>7351</v>
      </c>
      <c r="J35" s="982">
        <v>0</v>
      </c>
      <c r="K35" s="982">
        <v>0</v>
      </c>
      <c r="L35" s="982">
        <v>0</v>
      </c>
      <c r="M35" s="980">
        <f t="shared" si="1"/>
        <v>90103</v>
      </c>
      <c r="N35" s="967">
        <f>I10</f>
        <v>87495</v>
      </c>
      <c r="O35" s="977">
        <f t="shared" si="2"/>
        <v>2608</v>
      </c>
    </row>
    <row r="36" spans="1:15" ht="14.4">
      <c r="A36" s="119">
        <f t="shared" si="0"/>
        <v>2035</v>
      </c>
      <c r="B36" s="1053">
        <f t="shared" si="0"/>
        <v>77</v>
      </c>
      <c r="C36" s="1057">
        <f t="shared" si="0"/>
        <v>75</v>
      </c>
      <c r="D36" s="1026">
        <v>32952</v>
      </c>
      <c r="E36" s="1025">
        <v>16476</v>
      </c>
      <c r="F36" s="982">
        <v>0</v>
      </c>
      <c r="G36" s="719">
        <v>26354</v>
      </c>
      <c r="H36" s="1174">
        <v>6970</v>
      </c>
      <c r="I36" s="1175">
        <v>7351</v>
      </c>
      <c r="J36" s="982">
        <v>0</v>
      </c>
      <c r="K36" s="982">
        <v>0</v>
      </c>
      <c r="L36" s="982">
        <v>0</v>
      </c>
      <c r="M36" s="980">
        <f t="shared" si="1"/>
        <v>90103</v>
      </c>
      <c r="N36" s="967">
        <f>I10</f>
        <v>87495</v>
      </c>
      <c r="O36" s="977">
        <f t="shared" si="2"/>
        <v>2608</v>
      </c>
    </row>
    <row r="37" spans="1:15" ht="14.4">
      <c r="A37" s="119">
        <f t="shared" si="0"/>
        <v>2036</v>
      </c>
      <c r="B37" s="1053">
        <f t="shared" si="0"/>
        <v>78</v>
      </c>
      <c r="C37" s="1057">
        <f t="shared" si="0"/>
        <v>76</v>
      </c>
      <c r="D37" s="1026">
        <v>32952</v>
      </c>
      <c r="E37" s="1025">
        <v>16476</v>
      </c>
      <c r="F37" s="982">
        <v>0</v>
      </c>
      <c r="G37" s="719">
        <v>26354</v>
      </c>
      <c r="H37" s="1174">
        <v>6970</v>
      </c>
      <c r="I37" s="1175">
        <v>7351</v>
      </c>
      <c r="J37" s="982">
        <v>0</v>
      </c>
      <c r="K37" s="982">
        <v>0</v>
      </c>
      <c r="L37" s="982">
        <v>0</v>
      </c>
      <c r="M37" s="980">
        <f t="shared" si="1"/>
        <v>90103</v>
      </c>
      <c r="N37" s="967">
        <f>I10</f>
        <v>87495</v>
      </c>
      <c r="O37" s="977">
        <f t="shared" si="2"/>
        <v>2608</v>
      </c>
    </row>
    <row r="38" spans="1:15" ht="14.4">
      <c r="A38" s="155">
        <f t="shared" si="0"/>
        <v>2037</v>
      </c>
      <c r="B38" s="1053">
        <f t="shared" si="0"/>
        <v>79</v>
      </c>
      <c r="C38" s="1061">
        <f t="shared" si="0"/>
        <v>77</v>
      </c>
      <c r="D38" s="1026">
        <v>32952</v>
      </c>
      <c r="E38" s="1025">
        <v>16476</v>
      </c>
      <c r="F38" s="982">
        <v>0</v>
      </c>
      <c r="G38" s="719">
        <v>26354</v>
      </c>
      <c r="H38" s="1174">
        <v>6970</v>
      </c>
      <c r="I38" s="1175">
        <v>7351</v>
      </c>
      <c r="J38" s="982">
        <v>0</v>
      </c>
      <c r="K38" s="982">
        <v>0</v>
      </c>
      <c r="L38" s="982">
        <v>0</v>
      </c>
      <c r="M38" s="980">
        <f t="shared" si="1"/>
        <v>90103</v>
      </c>
      <c r="N38" s="967">
        <f>I10</f>
        <v>87495</v>
      </c>
      <c r="O38" s="977">
        <f t="shared" si="2"/>
        <v>2608</v>
      </c>
    </row>
    <row r="39" spans="1:15" ht="14.4">
      <c r="A39" s="119">
        <f t="shared" si="0"/>
        <v>2038</v>
      </c>
      <c r="B39" s="1054">
        <f t="shared" si="0"/>
        <v>80</v>
      </c>
      <c r="C39" s="1057">
        <f t="shared" si="0"/>
        <v>78</v>
      </c>
      <c r="D39" s="1026">
        <v>32952</v>
      </c>
      <c r="E39" s="1025">
        <v>16476</v>
      </c>
      <c r="F39" s="982">
        <v>0</v>
      </c>
      <c r="G39" s="719">
        <v>26354</v>
      </c>
      <c r="H39" s="1174">
        <v>6970</v>
      </c>
      <c r="I39" s="1175">
        <v>7351</v>
      </c>
      <c r="J39" s="982">
        <v>0</v>
      </c>
      <c r="K39" s="982">
        <v>0</v>
      </c>
      <c r="L39" s="982">
        <v>0</v>
      </c>
      <c r="M39" s="980">
        <f t="shared" si="1"/>
        <v>90103</v>
      </c>
      <c r="N39" s="967">
        <f>I10</f>
        <v>87495</v>
      </c>
      <c r="O39" s="977">
        <f t="shared" si="2"/>
        <v>2608</v>
      </c>
    </row>
    <row r="40" spans="1:15" ht="14.4">
      <c r="A40" s="119">
        <f t="shared" ref="A40:C52" si="3">A39+1</f>
        <v>2039</v>
      </c>
      <c r="B40" s="1053">
        <f t="shared" si="3"/>
        <v>81</v>
      </c>
      <c r="C40" s="1057">
        <f t="shared" si="3"/>
        <v>79</v>
      </c>
      <c r="D40" s="1026">
        <v>32952</v>
      </c>
      <c r="E40" s="1025">
        <v>16476</v>
      </c>
      <c r="F40" s="982">
        <v>0</v>
      </c>
      <c r="G40" s="719">
        <v>26354</v>
      </c>
      <c r="H40" s="1174">
        <v>6970</v>
      </c>
      <c r="I40" s="1175">
        <v>7351</v>
      </c>
      <c r="J40" s="982">
        <v>0</v>
      </c>
      <c r="K40" s="982">
        <v>0</v>
      </c>
      <c r="L40" s="982">
        <v>0</v>
      </c>
      <c r="M40" s="980">
        <f t="shared" si="1"/>
        <v>90103</v>
      </c>
      <c r="N40" s="967">
        <f>I10</f>
        <v>87495</v>
      </c>
      <c r="O40" s="977">
        <f>M40-N41</f>
        <v>2608</v>
      </c>
    </row>
    <row r="41" spans="1:15" ht="14.4">
      <c r="A41" s="119">
        <f>A40+1</f>
        <v>2040</v>
      </c>
      <c r="B41" s="1053">
        <f>B40+1</f>
        <v>82</v>
      </c>
      <c r="C41" s="1057">
        <f>C40+1</f>
        <v>80</v>
      </c>
      <c r="D41" s="1026">
        <v>32952</v>
      </c>
      <c r="E41" s="1025">
        <v>16476</v>
      </c>
      <c r="F41" s="982">
        <v>0</v>
      </c>
      <c r="G41" s="719">
        <v>26354</v>
      </c>
      <c r="H41" s="1174">
        <v>6970</v>
      </c>
      <c r="I41" s="1175">
        <v>7351</v>
      </c>
      <c r="J41" s="982">
        <v>0</v>
      </c>
      <c r="K41" s="982">
        <v>0</v>
      </c>
      <c r="L41" s="982">
        <v>0</v>
      </c>
      <c r="M41" s="981">
        <f t="shared" ref="M41:M57" si="4">SUM(D41+E41+F41+G41+H41+I41+J41+L41)</f>
        <v>90103</v>
      </c>
      <c r="N41" s="967">
        <f>I10</f>
        <v>87495</v>
      </c>
      <c r="O41" s="977">
        <f t="shared" si="2"/>
        <v>2608</v>
      </c>
    </row>
    <row r="42" spans="1:15" ht="14.4">
      <c r="A42" s="119">
        <f t="shared" si="3"/>
        <v>2041</v>
      </c>
      <c r="B42" s="1053">
        <f t="shared" si="3"/>
        <v>83</v>
      </c>
      <c r="C42" s="1057">
        <f t="shared" si="3"/>
        <v>81</v>
      </c>
      <c r="D42" s="1026">
        <v>32952</v>
      </c>
      <c r="E42" s="1025">
        <v>16476</v>
      </c>
      <c r="F42" s="982">
        <v>0</v>
      </c>
      <c r="G42" s="719">
        <v>26354</v>
      </c>
      <c r="H42" s="1174">
        <v>6970</v>
      </c>
      <c r="I42" s="1175">
        <v>7351</v>
      </c>
      <c r="J42" s="982">
        <v>0</v>
      </c>
      <c r="K42" s="982">
        <v>0</v>
      </c>
      <c r="L42" s="982">
        <v>0</v>
      </c>
      <c r="M42" s="982">
        <f t="shared" si="4"/>
        <v>90103</v>
      </c>
      <c r="N42" s="967">
        <f>I10</f>
        <v>87495</v>
      </c>
      <c r="O42" s="977">
        <f t="shared" si="2"/>
        <v>2608</v>
      </c>
    </row>
    <row r="43" spans="1:15" ht="14.4">
      <c r="A43" s="119">
        <f t="shared" si="3"/>
        <v>2042</v>
      </c>
      <c r="B43" s="1053">
        <f t="shared" si="3"/>
        <v>84</v>
      </c>
      <c r="C43" s="1057">
        <f t="shared" si="3"/>
        <v>82</v>
      </c>
      <c r="D43" s="1026">
        <v>32952</v>
      </c>
      <c r="E43" s="1025">
        <v>16476</v>
      </c>
      <c r="F43" s="982">
        <v>0</v>
      </c>
      <c r="G43" s="719">
        <v>26354</v>
      </c>
      <c r="H43" s="1174">
        <v>6970</v>
      </c>
      <c r="I43" s="1175">
        <v>7351</v>
      </c>
      <c r="J43" s="982">
        <v>0</v>
      </c>
      <c r="K43" s="982">
        <v>0</v>
      </c>
      <c r="L43" s="982">
        <v>0</v>
      </c>
      <c r="M43" s="980">
        <f t="shared" si="4"/>
        <v>90103</v>
      </c>
      <c r="N43" s="967">
        <f>I10</f>
        <v>87495</v>
      </c>
      <c r="O43" s="977">
        <f t="shared" si="2"/>
        <v>2608</v>
      </c>
    </row>
    <row r="44" spans="1:15" ht="14.4">
      <c r="A44" s="119">
        <f t="shared" si="3"/>
        <v>2043</v>
      </c>
      <c r="B44" s="1053">
        <f t="shared" si="3"/>
        <v>85</v>
      </c>
      <c r="C44" s="1057">
        <f t="shared" si="3"/>
        <v>83</v>
      </c>
      <c r="D44" s="1026">
        <v>32952</v>
      </c>
      <c r="E44" s="1025">
        <v>16476</v>
      </c>
      <c r="F44" s="982">
        <v>0</v>
      </c>
      <c r="G44" s="719">
        <v>26354</v>
      </c>
      <c r="H44" s="1174">
        <v>6970</v>
      </c>
      <c r="I44" s="1175">
        <v>7351</v>
      </c>
      <c r="J44" s="982">
        <v>0</v>
      </c>
      <c r="K44" s="982">
        <v>0</v>
      </c>
      <c r="L44" s="982">
        <v>0</v>
      </c>
      <c r="M44" s="980">
        <f t="shared" si="4"/>
        <v>90103</v>
      </c>
      <c r="N44" s="967">
        <f>I10</f>
        <v>87495</v>
      </c>
      <c r="O44" s="977">
        <f>M44-N49</f>
        <v>2608</v>
      </c>
    </row>
    <row r="45" spans="1:15" ht="12.45">
      <c r="A45" s="1921"/>
      <c r="B45" s="1922"/>
      <c r="C45" s="1922"/>
      <c r="D45" s="1922"/>
      <c r="E45" s="1922"/>
      <c r="F45" s="1922"/>
      <c r="G45" s="1922"/>
      <c r="H45" s="1922"/>
      <c r="I45" s="1922"/>
      <c r="J45" s="1922"/>
      <c r="K45" s="1922"/>
      <c r="L45" s="1922"/>
      <c r="M45" s="1922"/>
      <c r="N45" s="1922"/>
      <c r="O45" s="1923"/>
    </row>
    <row r="46" spans="1:15" ht="23.6">
      <c r="A46" s="1924" t="s">
        <v>528</v>
      </c>
      <c r="B46" s="1925"/>
      <c r="C46" s="1925"/>
      <c r="D46" s="1925"/>
      <c r="E46" s="1925"/>
      <c r="F46" s="1925"/>
      <c r="G46" s="1925"/>
      <c r="H46" s="1925"/>
      <c r="I46" s="1925"/>
      <c r="J46" s="1925"/>
      <c r="K46" s="1925"/>
      <c r="L46" s="1925"/>
      <c r="M46" s="1925"/>
      <c r="N46" s="1925"/>
      <c r="O46" s="1925"/>
    </row>
    <row r="47" spans="1:15" ht="12.45">
      <c r="A47" s="1926"/>
      <c r="B47" s="1927"/>
      <c r="C47" s="1927"/>
      <c r="D47" s="1927"/>
      <c r="E47" s="1927"/>
      <c r="F47" s="1927"/>
      <c r="G47" s="1927"/>
      <c r="H47" s="1927"/>
      <c r="I47" s="1927"/>
      <c r="J47" s="1927"/>
      <c r="K47" s="1927"/>
      <c r="L47" s="1927"/>
      <c r="M47" s="1927"/>
      <c r="N47" s="1927"/>
      <c r="O47" s="1928"/>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2044</v>
      </c>
      <c r="B49" s="1056">
        <f>B44+1</f>
        <v>86</v>
      </c>
      <c r="C49" s="1062">
        <f>C44+1</f>
        <v>84</v>
      </c>
      <c r="D49" s="1026">
        <v>32952</v>
      </c>
      <c r="E49" s="1025">
        <v>0</v>
      </c>
      <c r="F49" s="982">
        <v>0</v>
      </c>
      <c r="G49" s="719">
        <v>26354</v>
      </c>
      <c r="H49" s="1174">
        <v>6970</v>
      </c>
      <c r="I49" s="1175">
        <v>7351</v>
      </c>
      <c r="J49" s="982">
        <v>0</v>
      </c>
      <c r="K49" s="982">
        <v>0</v>
      </c>
      <c r="L49" s="982">
        <v>0</v>
      </c>
      <c r="M49" s="980">
        <f t="shared" si="4"/>
        <v>73627</v>
      </c>
      <c r="N49" s="967">
        <f>I10</f>
        <v>87495</v>
      </c>
      <c r="O49" s="977">
        <f t="shared" si="2"/>
        <v>-13868</v>
      </c>
    </row>
    <row r="50" spans="1:16" ht="14.4">
      <c r="A50" s="119">
        <f t="shared" si="3"/>
        <v>2045</v>
      </c>
      <c r="B50" s="1054">
        <f t="shared" si="3"/>
        <v>87</v>
      </c>
      <c r="C50" s="1057">
        <f t="shared" si="3"/>
        <v>85</v>
      </c>
      <c r="D50" s="1026">
        <v>32952</v>
      </c>
      <c r="E50" s="1025">
        <v>0</v>
      </c>
      <c r="F50" s="982">
        <v>0</v>
      </c>
      <c r="G50" s="719">
        <v>26354</v>
      </c>
      <c r="H50" s="1174">
        <v>6970</v>
      </c>
      <c r="I50" s="1175">
        <v>7351</v>
      </c>
      <c r="J50" s="982">
        <v>0</v>
      </c>
      <c r="K50" s="982">
        <v>0</v>
      </c>
      <c r="L50" s="982">
        <v>0</v>
      </c>
      <c r="M50" s="980">
        <f t="shared" si="4"/>
        <v>73627</v>
      </c>
      <c r="N50" s="967">
        <f>I10</f>
        <v>87495</v>
      </c>
      <c r="O50" s="977">
        <f t="shared" si="2"/>
        <v>-13868</v>
      </c>
    </row>
    <row r="51" spans="1:16" ht="14.4">
      <c r="A51" s="119">
        <f t="shared" si="3"/>
        <v>2046</v>
      </c>
      <c r="B51" s="1053">
        <f t="shared" si="3"/>
        <v>88</v>
      </c>
      <c r="C51" s="1057">
        <f t="shared" si="3"/>
        <v>86</v>
      </c>
      <c r="D51" s="1026">
        <v>32952</v>
      </c>
      <c r="E51" s="1025">
        <v>0</v>
      </c>
      <c r="F51" s="982">
        <v>0</v>
      </c>
      <c r="G51" s="719">
        <v>26354</v>
      </c>
      <c r="H51" s="1174">
        <v>6970</v>
      </c>
      <c r="I51" s="1175">
        <v>7351</v>
      </c>
      <c r="J51" s="982">
        <v>0</v>
      </c>
      <c r="K51" s="982">
        <v>0</v>
      </c>
      <c r="L51" s="982">
        <v>0</v>
      </c>
      <c r="M51" s="980">
        <f t="shared" si="4"/>
        <v>73627</v>
      </c>
      <c r="N51" s="967">
        <f>I10</f>
        <v>87495</v>
      </c>
      <c r="O51" s="977">
        <f t="shared" si="2"/>
        <v>-13868</v>
      </c>
    </row>
    <row r="52" spans="1:16" ht="14.4">
      <c r="A52" s="144">
        <f t="shared" si="3"/>
        <v>2047</v>
      </c>
      <c r="B52" s="1052">
        <f t="shared" si="3"/>
        <v>89</v>
      </c>
      <c r="C52" s="1060">
        <f t="shared" si="3"/>
        <v>87</v>
      </c>
      <c r="D52" s="1026">
        <v>32952</v>
      </c>
      <c r="E52" s="1025">
        <v>0</v>
      </c>
      <c r="F52" s="982">
        <v>0</v>
      </c>
      <c r="G52" s="719">
        <v>26354</v>
      </c>
      <c r="H52" s="1174">
        <v>6970</v>
      </c>
      <c r="I52" s="1175">
        <v>7351</v>
      </c>
      <c r="J52" s="982">
        <v>0</v>
      </c>
      <c r="K52" s="982">
        <v>0</v>
      </c>
      <c r="L52" s="982">
        <v>0</v>
      </c>
      <c r="M52" s="980">
        <f t="shared" si="4"/>
        <v>73627</v>
      </c>
      <c r="N52" s="984">
        <f>I10</f>
        <v>87495</v>
      </c>
      <c r="O52" s="985">
        <f>M52-N54</f>
        <v>-13868</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2048</v>
      </c>
      <c r="B54" s="1063">
        <f>B52+1</f>
        <v>90</v>
      </c>
      <c r="C54" s="1064">
        <f>C52+1</f>
        <v>88</v>
      </c>
      <c r="D54" s="1026">
        <v>32952</v>
      </c>
      <c r="E54" s="1025">
        <v>0</v>
      </c>
      <c r="F54" s="982">
        <v>0</v>
      </c>
      <c r="G54" s="719">
        <v>26354</v>
      </c>
      <c r="H54" s="1174">
        <v>6970</v>
      </c>
      <c r="I54" s="1175">
        <v>7351</v>
      </c>
      <c r="J54" s="982">
        <v>0</v>
      </c>
      <c r="K54" s="982">
        <v>0</v>
      </c>
      <c r="L54" s="982">
        <v>0</v>
      </c>
      <c r="M54" s="980">
        <f t="shared" si="4"/>
        <v>73627</v>
      </c>
      <c r="N54" s="967">
        <f>I10</f>
        <v>87495</v>
      </c>
      <c r="O54" s="977">
        <f>M54-N55</f>
        <v>-13868</v>
      </c>
    </row>
    <row r="55" spans="1:16" ht="13.1" customHeight="1">
      <c r="A55" s="137">
        <f t="shared" ref="A55:C57" si="5">A54+1</f>
        <v>2049</v>
      </c>
      <c r="B55" s="1054">
        <f t="shared" si="5"/>
        <v>91</v>
      </c>
      <c r="C55" s="1059">
        <f t="shared" si="5"/>
        <v>89</v>
      </c>
      <c r="D55" s="1026">
        <v>32952</v>
      </c>
      <c r="E55" s="1025">
        <v>0</v>
      </c>
      <c r="F55" s="982">
        <v>0</v>
      </c>
      <c r="G55" s="719">
        <v>26354</v>
      </c>
      <c r="H55" s="1174">
        <v>6970</v>
      </c>
      <c r="I55" s="1175">
        <v>7351</v>
      </c>
      <c r="J55" s="982">
        <v>0</v>
      </c>
      <c r="K55" s="982">
        <v>0</v>
      </c>
      <c r="L55" s="982">
        <v>0</v>
      </c>
      <c r="M55" s="980">
        <f t="shared" si="4"/>
        <v>73627</v>
      </c>
      <c r="N55" s="967">
        <f>I10</f>
        <v>87495</v>
      </c>
      <c r="O55" s="977">
        <f>M55-N55</f>
        <v>-13868</v>
      </c>
    </row>
    <row r="56" spans="1:16" ht="13.1" customHeight="1">
      <c r="A56" s="137">
        <f t="shared" si="5"/>
        <v>2050</v>
      </c>
      <c r="B56" s="1054">
        <f t="shared" si="5"/>
        <v>92</v>
      </c>
      <c r="C56" s="1059">
        <f t="shared" si="5"/>
        <v>90</v>
      </c>
      <c r="D56" s="1026">
        <v>32952</v>
      </c>
      <c r="E56" s="1025">
        <v>0</v>
      </c>
      <c r="F56" s="982">
        <v>0</v>
      </c>
      <c r="G56" s="719">
        <v>26354</v>
      </c>
      <c r="H56" s="1174">
        <v>6970</v>
      </c>
      <c r="I56" s="1175">
        <v>7351</v>
      </c>
      <c r="J56" s="982">
        <v>0</v>
      </c>
      <c r="K56" s="982">
        <v>0</v>
      </c>
      <c r="L56" s="982">
        <v>0</v>
      </c>
      <c r="M56" s="980">
        <f t="shared" si="4"/>
        <v>73627</v>
      </c>
      <c r="N56" s="967">
        <f>I10</f>
        <v>87495</v>
      </c>
      <c r="O56" s="977">
        <f t="shared" ref="O56:O57" si="6">M56-N56</f>
        <v>-13868</v>
      </c>
    </row>
    <row r="57" spans="1:16" ht="13.1" customHeight="1">
      <c r="A57" s="137">
        <f t="shared" si="5"/>
        <v>2051</v>
      </c>
      <c r="B57" s="1054">
        <f t="shared" si="5"/>
        <v>93</v>
      </c>
      <c r="C57" s="1059">
        <f t="shared" si="5"/>
        <v>91</v>
      </c>
      <c r="D57" s="1026">
        <v>32952</v>
      </c>
      <c r="E57" s="1025">
        <v>0</v>
      </c>
      <c r="F57" s="982">
        <v>0</v>
      </c>
      <c r="G57" s="719">
        <v>26354</v>
      </c>
      <c r="H57" s="1174">
        <v>6970</v>
      </c>
      <c r="I57" s="1175">
        <v>7351</v>
      </c>
      <c r="J57" s="982">
        <v>0</v>
      </c>
      <c r="K57" s="982">
        <v>0</v>
      </c>
      <c r="L57" s="982">
        <v>0</v>
      </c>
      <c r="M57" s="980">
        <f t="shared" si="4"/>
        <v>73627</v>
      </c>
      <c r="N57" s="967">
        <f>I10</f>
        <v>87495</v>
      </c>
      <c r="O57" s="977">
        <f t="shared" si="6"/>
        <v>-13868</v>
      </c>
    </row>
    <row r="58" spans="1:16" ht="12.45">
      <c r="A58" s="1917"/>
      <c r="B58" s="1917"/>
      <c r="C58" s="1917"/>
      <c r="D58" s="1917"/>
      <c r="E58" s="1917"/>
      <c r="F58" s="1917"/>
      <c r="G58" s="1917"/>
      <c r="H58" s="1917"/>
      <c r="I58" s="1917"/>
      <c r="J58" s="1917"/>
      <c r="K58" s="1917"/>
      <c r="L58" s="1917"/>
      <c r="M58" s="1917"/>
      <c r="N58" s="1917"/>
      <c r="O58" s="1918"/>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4.9989318521683403E-2"/>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42" t="s">
        <v>554</v>
      </c>
      <c r="B1" s="1642"/>
      <c r="C1" s="1642"/>
      <c r="D1" s="1642"/>
      <c r="E1" s="1642"/>
      <c r="F1" s="1642"/>
      <c r="G1" s="1642"/>
      <c r="H1" s="1642"/>
      <c r="I1" s="1642"/>
      <c r="J1" s="1642"/>
      <c r="K1" s="1642"/>
      <c r="L1" s="1642"/>
      <c r="M1" s="1642"/>
    </row>
    <row r="2" spans="1:19" ht="26.2">
      <c r="C2" s="1643" t="s">
        <v>239</v>
      </c>
      <c r="D2" s="1644"/>
      <c r="E2" s="1644"/>
      <c r="F2" s="1645"/>
      <c r="G2" s="1646">
        <f>'Alt Cash Flow  Snapshot No Plan'!I10</f>
        <v>50000</v>
      </c>
      <c r="H2" s="1647"/>
      <c r="I2" s="1648"/>
      <c r="J2" s="1649" t="s">
        <v>239</v>
      </c>
      <c r="K2" s="1650"/>
      <c r="L2" s="1112"/>
      <c r="M2" s="1113"/>
    </row>
    <row r="3" spans="1:19" ht="26.2">
      <c r="C3" s="357"/>
      <c r="D3" s="357"/>
      <c r="E3" s="357"/>
      <c r="F3" s="357"/>
      <c r="G3" s="1118"/>
      <c r="H3" s="1118"/>
      <c r="I3" s="1118"/>
      <c r="J3" s="1119"/>
      <c r="K3" s="1119"/>
      <c r="L3" s="1112"/>
      <c r="M3" s="1113"/>
    </row>
    <row r="4" spans="1:19" ht="20.3">
      <c r="A4" s="1651" t="s">
        <v>240</v>
      </c>
      <c r="B4" s="1651"/>
      <c r="C4" s="1651"/>
      <c r="D4" s="1651"/>
      <c r="E4" s="1651"/>
      <c r="F4" s="1651"/>
      <c r="G4" s="1651"/>
      <c r="H4" s="1653"/>
      <c r="I4" s="1653"/>
      <c r="J4" s="1652" t="s">
        <v>241</v>
      </c>
      <c r="K4" s="1652"/>
      <c r="L4" s="1652"/>
      <c r="M4" s="1652"/>
      <c r="N4" s="1652"/>
      <c r="O4" s="1120"/>
    </row>
    <row r="5" spans="1:19" ht="20.3">
      <c r="A5" s="1124" t="s">
        <v>242</v>
      </c>
      <c r="B5" s="1127" t="s">
        <v>243</v>
      </c>
      <c r="C5" s="1128" t="e">
        <f>'Stem Comparison Gold Plan 1'!C5</f>
        <v>#REF!</v>
      </c>
      <c r="D5" s="1632" t="s">
        <v>244</v>
      </c>
      <c r="E5" s="1632"/>
      <c r="F5" s="1632"/>
      <c r="G5" s="1140" t="e">
        <f>C5-G2</f>
        <v>#REF!</v>
      </c>
      <c r="H5" s="1641"/>
      <c r="I5" s="1641"/>
      <c r="J5" s="1631" t="s">
        <v>253</v>
      </c>
      <c r="K5" s="1631"/>
      <c r="L5" s="1130">
        <f>'Alt Cash Flow  Snapshot No Plan'!M49</f>
        <v>0</v>
      </c>
      <c r="M5" s="1123" t="s">
        <v>246</v>
      </c>
      <c r="N5" s="1141">
        <f>L5-G2</f>
        <v>-50000</v>
      </c>
      <c r="O5" s="725"/>
      <c r="P5" s="726"/>
      <c r="Q5" s="726"/>
      <c r="R5" s="726"/>
      <c r="S5" s="727"/>
    </row>
    <row r="6" spans="1:19" ht="20.3">
      <c r="I6" s="257"/>
      <c r="J6" s="257"/>
      <c r="K6" s="383"/>
      <c r="L6" s="230"/>
      <c r="M6" s="230"/>
      <c r="O6" s="725"/>
      <c r="P6" s="727"/>
      <c r="S6" s="728"/>
    </row>
    <row r="7" spans="1:19" ht="20.3">
      <c r="A7" s="1126" t="s">
        <v>537</v>
      </c>
      <c r="B7" s="1127" t="s">
        <v>243</v>
      </c>
      <c r="C7" s="1128">
        <f>'Stem Comparison Gold Plan 1'!C7</f>
        <v>43752.147722451831</v>
      </c>
      <c r="D7" s="1634" t="s">
        <v>244</v>
      </c>
      <c r="E7" s="1634"/>
      <c r="F7" s="1634"/>
      <c r="G7" s="1140">
        <f>C7-G2</f>
        <v>-6247.8522775481688</v>
      </c>
      <c r="H7" s="1641"/>
      <c r="I7" s="1641"/>
      <c r="J7" s="1622" t="s">
        <v>255</v>
      </c>
      <c r="K7" s="1622"/>
      <c r="L7" s="1128">
        <f>'Alt Cash Flow  Snapshot No Plan'!M54</f>
        <v>0</v>
      </c>
      <c r="M7" s="1131" t="s">
        <v>248</v>
      </c>
      <c r="N7" s="1142">
        <f>L7-G2</f>
        <v>-50000</v>
      </c>
      <c r="O7" s="724"/>
      <c r="P7" s="728"/>
      <c r="S7" s="728"/>
    </row>
    <row r="8" spans="1:19" ht="20.3">
      <c r="I8" s="1620"/>
      <c r="J8" s="1620"/>
      <c r="K8" s="1114"/>
      <c r="L8" s="1115"/>
      <c r="M8" s="1115"/>
      <c r="O8" s="724"/>
      <c r="P8" s="728"/>
      <c r="Q8" s="723"/>
      <c r="R8" s="724"/>
      <c r="S8" s="728"/>
    </row>
    <row r="9" spans="1:19" ht="20.3">
      <c r="A9" s="1121" t="s">
        <v>538</v>
      </c>
      <c r="B9" s="1127" t="s">
        <v>243</v>
      </c>
      <c r="C9" s="1128">
        <f>'Stem Comparison Gold Plan 1'!C9</f>
        <v>52287.866604367766</v>
      </c>
      <c r="D9" s="1632" t="s">
        <v>244</v>
      </c>
      <c r="E9" s="1632"/>
      <c r="F9" s="1632"/>
      <c r="G9" s="1140">
        <f>C9-G2</f>
        <v>2287.8666043677658</v>
      </c>
      <c r="H9" s="1137"/>
      <c r="I9" s="1137"/>
      <c r="J9" s="1892"/>
      <c r="K9" s="1892"/>
      <c r="L9" s="1892"/>
      <c r="M9" s="1892"/>
      <c r="N9" s="1893"/>
      <c r="O9" s="724"/>
      <c r="P9" s="728"/>
      <c r="S9" s="728"/>
    </row>
    <row r="10" spans="1:19" ht="20.3">
      <c r="A10" s="1121"/>
      <c r="B10" s="1121"/>
      <c r="C10" s="1121"/>
      <c r="D10" s="1121"/>
      <c r="E10" s="1121"/>
      <c r="F10" s="1121"/>
      <c r="G10" s="1121"/>
      <c r="H10" s="1121"/>
      <c r="I10" s="1121"/>
      <c r="J10" s="1121"/>
      <c r="K10" s="1121"/>
      <c r="L10" s="1121"/>
      <c r="M10" s="1121"/>
      <c r="N10" s="1121"/>
      <c r="O10" s="724"/>
      <c r="P10" s="728"/>
      <c r="S10" s="728"/>
    </row>
    <row r="11" spans="1:19" ht="17.55" customHeight="1">
      <c r="I11" s="1637"/>
      <c r="J11" s="1637"/>
      <c r="K11" s="670"/>
      <c r="L11" s="670"/>
      <c r="M11" s="670"/>
      <c r="O11" s="724"/>
      <c r="P11" s="728"/>
      <c r="S11" s="728"/>
    </row>
    <row r="12" spans="1:19" ht="20.3">
      <c r="A12" s="1909" t="s">
        <v>555</v>
      </c>
      <c r="B12" s="1909"/>
      <c r="C12" s="1909"/>
      <c r="D12" s="1909"/>
      <c r="E12" s="1909"/>
      <c r="F12" s="1909"/>
      <c r="G12" s="1909"/>
      <c r="H12" s="1912"/>
      <c r="I12" s="1912"/>
      <c r="J12" s="1910" t="s">
        <v>556</v>
      </c>
      <c r="K12" s="1910"/>
      <c r="L12" s="1910"/>
      <c r="M12" s="1910"/>
      <c r="N12" s="1910"/>
      <c r="O12" s="724"/>
      <c r="P12" s="728"/>
      <c r="S12" s="728"/>
    </row>
    <row r="13" spans="1:19" ht="21.6" customHeight="1">
      <c r="A13" s="1145" t="s">
        <v>242</v>
      </c>
      <c r="B13" s="1127" t="s">
        <v>243</v>
      </c>
      <c r="C13" s="1128" t="e">
        <f>'Stem Comparison Gold Plan 1'!C13</f>
        <v>#REF!</v>
      </c>
      <c r="D13" s="1911" t="s">
        <v>244</v>
      </c>
      <c r="E13" s="1911"/>
      <c r="F13" s="1911"/>
      <c r="G13" s="1135" t="e">
        <f>C13-G2</f>
        <v>#REF!</v>
      </c>
      <c r="H13" s="1912"/>
      <c r="I13" s="1912"/>
      <c r="J13" s="1631" t="s">
        <v>253</v>
      </c>
      <c r="K13" s="1631"/>
      <c r="L13" s="1130" t="e">
        <f>'[1]Stem Gold Immediate Plan '!M49</f>
        <v>#REF!</v>
      </c>
      <c r="M13" s="1131" t="s">
        <v>246</v>
      </c>
      <c r="N13" s="1142" t="e">
        <f>L13-G2</f>
        <v>#REF!</v>
      </c>
      <c r="O13" s="724"/>
      <c r="P13" s="728"/>
      <c r="S13" s="728"/>
    </row>
    <row r="14" spans="1:19" ht="17.7">
      <c r="I14" s="1106"/>
      <c r="J14" s="1106"/>
      <c r="K14" s="1106"/>
      <c r="L14" s="1106"/>
      <c r="M14" s="1106"/>
    </row>
    <row r="15" spans="1:19" ht="20.3">
      <c r="A15" s="1146" t="s">
        <v>537</v>
      </c>
      <c r="B15" s="1127" t="s">
        <v>243</v>
      </c>
      <c r="C15" s="1128" t="e">
        <f>'Stem Comparison Gold Plan 1'!C15</f>
        <v>#REF!</v>
      </c>
      <c r="D15" s="1907" t="s">
        <v>244</v>
      </c>
      <c r="E15" s="1907"/>
      <c r="F15" s="1907"/>
      <c r="G15" s="1182" t="e">
        <f>C15-G2</f>
        <v>#REF!</v>
      </c>
      <c r="H15" s="1912"/>
      <c r="I15" s="1912"/>
      <c r="J15" s="1622" t="s">
        <v>255</v>
      </c>
      <c r="K15" s="1622"/>
      <c r="L15" s="1128" t="e">
        <f>'[1]Stem Gold Immediate Plan '!M54</f>
        <v>#REF!</v>
      </c>
      <c r="M15" s="1131" t="s">
        <v>248</v>
      </c>
      <c r="N15" s="1144" t="e">
        <f>L15-G2</f>
        <v>#REF!</v>
      </c>
    </row>
    <row r="16" spans="1:19" ht="20.3">
      <c r="I16" s="236"/>
      <c r="J16" s="1108"/>
      <c r="K16" s="930"/>
      <c r="L16" s="930"/>
      <c r="M16" s="736"/>
    </row>
    <row r="17" spans="1:19" ht="20.3">
      <c r="A17" s="1146" t="s">
        <v>538</v>
      </c>
      <c r="B17" s="1127" t="s">
        <v>243</v>
      </c>
      <c r="C17" s="1128" t="e">
        <f>'Stem Comparison Gold Plan 1'!C17</f>
        <v>#REF!</v>
      </c>
      <c r="D17" s="1907" t="s">
        <v>244</v>
      </c>
      <c r="E17" s="1907"/>
      <c r="F17" s="1907"/>
      <c r="G17" s="1182" t="e">
        <f>C17-G2</f>
        <v>#REF!</v>
      </c>
      <c r="H17" s="1912"/>
      <c r="I17" s="1912"/>
      <c r="J17" s="1908"/>
      <c r="K17" s="1908"/>
      <c r="L17" s="1908"/>
      <c r="M17" s="1908"/>
      <c r="N17" s="1908"/>
    </row>
    <row r="18" spans="1:19">
      <c r="A18" s="1912"/>
      <c r="B18" s="1912"/>
      <c r="C18" s="1912"/>
      <c r="D18" s="1912"/>
      <c r="E18" s="1912"/>
      <c r="F18" s="1912"/>
      <c r="G18" s="1912"/>
      <c r="H18" s="1912"/>
      <c r="I18" s="1912"/>
      <c r="J18" s="1912"/>
      <c r="K18" s="1912"/>
      <c r="L18" s="1912"/>
      <c r="M18" s="1912"/>
      <c r="N18" s="1912"/>
    </row>
    <row r="19" spans="1:19" ht="17.7">
      <c r="I19" s="256"/>
      <c r="J19" s="678"/>
      <c r="K19" s="934"/>
      <c r="L19" s="934"/>
      <c r="M19" s="937"/>
      <c r="O19" s="729"/>
      <c r="P19" s="730"/>
      <c r="Q19" s="723"/>
      <c r="R19" s="723"/>
      <c r="S19" s="730"/>
    </row>
    <row r="20" spans="1:19" ht="20.3">
      <c r="A20" s="1935" t="s">
        <v>557</v>
      </c>
      <c r="B20" s="1935"/>
      <c r="C20" s="1935"/>
      <c r="D20" s="1935"/>
      <c r="E20" s="1935"/>
      <c r="F20" s="1935"/>
      <c r="G20" s="1935"/>
      <c r="H20" s="1932"/>
      <c r="I20" s="1932"/>
      <c r="J20" s="1936" t="s">
        <v>558</v>
      </c>
      <c r="K20" s="1936"/>
      <c r="L20" s="1936"/>
      <c r="M20" s="1936"/>
      <c r="N20" s="1936"/>
      <c r="O20" s="724"/>
      <c r="P20" s="728"/>
      <c r="S20" s="728"/>
    </row>
    <row r="21" spans="1:19" ht="20.3">
      <c r="A21" s="1147" t="s">
        <v>242</v>
      </c>
      <c r="B21" s="1127" t="s">
        <v>243</v>
      </c>
      <c r="C21" s="1128">
        <f>'Stem Silver Infla Ladder Plan'!M26</f>
        <v>59306</v>
      </c>
      <c r="D21" s="1933" t="s">
        <v>244</v>
      </c>
      <c r="E21" s="1933"/>
      <c r="F21" s="1933"/>
      <c r="G21" s="1140">
        <f>C21-G2</f>
        <v>9306</v>
      </c>
      <c r="H21" s="1931"/>
      <c r="I21" s="1931"/>
      <c r="J21" s="1631" t="s">
        <v>253</v>
      </c>
      <c r="K21" s="1631"/>
      <c r="L21" s="1130">
        <f>'Stem Silver Infla Ladder Plan'!M49</f>
        <v>73627</v>
      </c>
      <c r="M21" s="1131" t="s">
        <v>246</v>
      </c>
      <c r="N21" s="1142">
        <f>L21-G2</f>
        <v>23627</v>
      </c>
      <c r="O21" s="724"/>
      <c r="P21" s="728"/>
    </row>
    <row r="22" spans="1:19" ht="23.6">
      <c r="I22" s="156"/>
      <c r="J22" s="937"/>
      <c r="K22" s="938"/>
      <c r="L22" s="937"/>
      <c r="M22" s="932"/>
      <c r="O22" s="724"/>
      <c r="P22" s="728"/>
    </row>
    <row r="23" spans="1:19" ht="20.3">
      <c r="A23" s="1147" t="s">
        <v>537</v>
      </c>
      <c r="B23" s="1127" t="s">
        <v>243</v>
      </c>
      <c r="C23" s="1128">
        <f>'Stem Silver Infla Ladder Plan'!M27</f>
        <v>66276</v>
      </c>
      <c r="D23" s="1933" t="s">
        <v>244</v>
      </c>
      <c r="E23" s="1933"/>
      <c r="F23" s="1933"/>
      <c r="G23" s="1143">
        <f>C23-G2</f>
        <v>16276</v>
      </c>
      <c r="H23" s="1148"/>
      <c r="I23" s="1148"/>
      <c r="J23" s="1622" t="s">
        <v>255</v>
      </c>
      <c r="K23" s="1622"/>
      <c r="L23" s="1128">
        <f>'Stem Silver Infla Ladder Plan'!M54</f>
        <v>73627</v>
      </c>
      <c r="M23" s="1131" t="s">
        <v>248</v>
      </c>
      <c r="N23" s="1142">
        <f>L23-G2</f>
        <v>23627</v>
      </c>
      <c r="O23" s="724"/>
      <c r="P23" s="728"/>
    </row>
    <row r="24" spans="1:19" ht="24.25">
      <c r="I24" s="1107"/>
      <c r="J24" s="1107"/>
      <c r="K24" s="1107"/>
      <c r="L24" s="1107"/>
      <c r="M24" s="1107"/>
      <c r="O24" s="724"/>
      <c r="P24" s="728"/>
    </row>
    <row r="25" spans="1:19" ht="20.3">
      <c r="A25" s="1147" t="s">
        <v>538</v>
      </c>
      <c r="B25" s="1127" t="s">
        <v>243</v>
      </c>
      <c r="C25" s="1028">
        <f>'Stem Silver Infla Ladder Plan'!M28</f>
        <v>90103</v>
      </c>
      <c r="D25" s="1929" t="s">
        <v>244</v>
      </c>
      <c r="E25" s="1929"/>
      <c r="F25" s="1929"/>
      <c r="G25" s="1182">
        <f>C25-G2</f>
        <v>40103</v>
      </c>
      <c r="H25" s="1932"/>
      <c r="I25" s="1932"/>
      <c r="J25" s="1930"/>
      <c r="K25" s="1930"/>
      <c r="L25" s="1930"/>
      <c r="M25" s="1930"/>
      <c r="N25" s="1930"/>
      <c r="O25" s="724"/>
      <c r="P25" s="728"/>
    </row>
    <row r="26" spans="1:19" ht="17.55" customHeight="1">
      <c r="A26" s="1931"/>
      <c r="B26" s="1931"/>
      <c r="C26" s="1931"/>
      <c r="D26" s="1931"/>
      <c r="E26" s="1931"/>
      <c r="F26" s="1931"/>
      <c r="G26" s="1931"/>
      <c r="H26" s="1931"/>
      <c r="I26" s="1931"/>
      <c r="J26" s="1931"/>
      <c r="K26" s="1931"/>
      <c r="L26" s="1931"/>
      <c r="M26" s="1931"/>
      <c r="N26" s="1934"/>
      <c r="O26" s="724"/>
      <c r="P26" s="728"/>
    </row>
    <row r="27" spans="1:19" ht="18" customHeight="1">
      <c r="I27" s="932"/>
      <c r="J27" s="933"/>
      <c r="K27" s="935"/>
      <c r="L27" s="936"/>
      <c r="M27" s="738"/>
      <c r="O27" s="724"/>
      <c r="P27" s="728"/>
    </row>
    <row r="28" spans="1:19" ht="18" customHeight="1">
      <c r="I28" s="256"/>
      <c r="J28" s="678"/>
      <c r="K28" s="934"/>
      <c r="L28" s="934"/>
      <c r="M28" s="937"/>
      <c r="O28" s="724"/>
      <c r="P28" s="728"/>
    </row>
    <row r="29" spans="1:19" ht="18" customHeight="1">
      <c r="I29" s="635"/>
      <c r="J29" s="71"/>
      <c r="K29" s="670"/>
      <c r="L29" s="670"/>
      <c r="M29" s="740"/>
      <c r="O29" s="724"/>
      <c r="P29" s="728"/>
    </row>
    <row r="30" spans="1:19" ht="18.649999999999999" customHeight="1">
      <c r="I30" s="1109"/>
      <c r="J30" s="1109"/>
      <c r="K30" s="1109"/>
      <c r="L30" s="1109"/>
      <c r="M30" s="1109"/>
      <c r="O30" s="724"/>
      <c r="P30" s="728"/>
    </row>
    <row r="31" spans="1:19" ht="23.6">
      <c r="I31" s="156"/>
      <c r="J31" s="937"/>
      <c r="K31" s="938"/>
      <c r="L31" s="937"/>
      <c r="M31" s="932"/>
      <c r="N31" s="89"/>
      <c r="O31" s="729"/>
      <c r="P31" s="730"/>
    </row>
    <row r="33" spans="9:13" ht="20.3">
      <c r="I33" s="1624"/>
      <c r="J33" s="1625"/>
      <c r="K33" s="1625"/>
      <c r="L33" s="1625"/>
      <c r="M33" s="1625"/>
    </row>
    <row r="34" spans="9:13" ht="20.3">
      <c r="I34" s="1626"/>
      <c r="J34" s="1626"/>
      <c r="K34" s="1626"/>
      <c r="L34" s="1626"/>
      <c r="M34" s="1626"/>
    </row>
    <row r="36" spans="9:13" ht="18.649999999999999" customHeight="1">
      <c r="I36" s="1620"/>
      <c r="J36" s="1620"/>
      <c r="K36" s="1620"/>
      <c r="L36" s="1620"/>
      <c r="M36" s="1620"/>
    </row>
    <row r="37" spans="9:13" ht="18.649999999999999" customHeight="1">
      <c r="I37" s="383"/>
      <c r="J37" s="383"/>
      <c r="K37" s="701"/>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75"/>
      <c r="J41" s="1575"/>
      <c r="K41" s="1575"/>
      <c r="L41" s="1575"/>
      <c r="M41" s="157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99</v>
      </c>
    </row>
  </sheetData>
  <mergeCells count="46">
    <mergeCell ref="A26:N26"/>
    <mergeCell ref="H4:I4"/>
    <mergeCell ref="H5:I5"/>
    <mergeCell ref="H7:I7"/>
    <mergeCell ref="H12:I12"/>
    <mergeCell ref="H13:I13"/>
    <mergeCell ref="D17:F17"/>
    <mergeCell ref="J17:N17"/>
    <mergeCell ref="J9:N9"/>
    <mergeCell ref="A20:G20"/>
    <mergeCell ref="J20:N20"/>
    <mergeCell ref="A12:G12"/>
    <mergeCell ref="J12:N12"/>
    <mergeCell ref="D13:F13"/>
    <mergeCell ref="J13:K13"/>
    <mergeCell ref="D15:F15"/>
    <mergeCell ref="I41:M41"/>
    <mergeCell ref="I33:M33"/>
    <mergeCell ref="I34:M34"/>
    <mergeCell ref="I36:M36"/>
    <mergeCell ref="A1:M1"/>
    <mergeCell ref="G2:I2"/>
    <mergeCell ref="C2:F2"/>
    <mergeCell ref="D5:F5"/>
    <mergeCell ref="J2:K2"/>
    <mergeCell ref="I8:J8"/>
    <mergeCell ref="I11:J11"/>
    <mergeCell ref="A4:G4"/>
    <mergeCell ref="J5:K5"/>
    <mergeCell ref="J7:K7"/>
    <mergeCell ref="J4:N4"/>
    <mergeCell ref="D7:F7"/>
    <mergeCell ref="J15:K15"/>
    <mergeCell ref="D9:F9"/>
    <mergeCell ref="H15:I15"/>
    <mergeCell ref="H17:I17"/>
    <mergeCell ref="A18:N18"/>
    <mergeCell ref="D25:F25"/>
    <mergeCell ref="J25:N25"/>
    <mergeCell ref="H21:I21"/>
    <mergeCell ref="H25:I25"/>
    <mergeCell ref="H20:I20"/>
    <mergeCell ref="D21:F21"/>
    <mergeCell ref="J21:K21"/>
    <mergeCell ref="D23:F23"/>
    <mergeCell ref="J23:K23"/>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937" t="s">
        <v>559</v>
      </c>
      <c r="E1" s="1938"/>
      <c r="F1" s="1938"/>
      <c r="G1" s="1938"/>
      <c r="H1" s="1938"/>
      <c r="I1" s="1938"/>
      <c r="J1" s="1938"/>
      <c r="K1" s="1030" t="s">
        <v>396</v>
      </c>
      <c r="L1" s="1721" t="s">
        <v>397</v>
      </c>
      <c r="M1" s="1721"/>
    </row>
    <row r="2" spans="1:13" ht="24.25">
      <c r="A2" s="296" t="e">
        <f>'[4]Stem Gold Plan Allocation '!A2</f>
        <v>#REF!</v>
      </c>
      <c r="B2" s="298" t="e">
        <f>'[4]Stem Gold Plan Allocation '!B2</f>
        <v>#REF!</v>
      </c>
      <c r="C2" s="297" t="e">
        <f>'[4]Stem Gold Plan Allocation '!C2</f>
        <v>#REF!</v>
      </c>
      <c r="D2" s="1939"/>
      <c r="E2" s="1939"/>
      <c r="F2" s="1939"/>
      <c r="G2" s="1939"/>
      <c r="H2" s="1939"/>
      <c r="I2" s="1939"/>
      <c r="J2" s="1939"/>
      <c r="K2" s="1031" t="s">
        <v>160</v>
      </c>
      <c r="L2" s="1721" t="s">
        <v>398</v>
      </c>
      <c r="M2" s="1721"/>
    </row>
    <row r="3" spans="1:13" ht="26.2">
      <c r="A3" s="34"/>
      <c r="B3" s="118"/>
      <c r="C3" s="35"/>
      <c r="D3" s="1940"/>
      <c r="E3" s="1940"/>
      <c r="F3" s="1940"/>
      <c r="G3" s="1940"/>
      <c r="H3" s="1940"/>
      <c r="I3" s="1940"/>
      <c r="J3" s="1940"/>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D3</f>
        <v>0</v>
      </c>
      <c r="K15" s="236">
        <f>D3</f>
        <v>0</v>
      </c>
      <c r="L15" s="236">
        <f>D3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1">
    <mergeCell ref="I11:M11"/>
    <mergeCell ref="L1:M1"/>
    <mergeCell ref="I6:M6"/>
    <mergeCell ref="I7:M7"/>
    <mergeCell ref="I8:L8"/>
    <mergeCell ref="I9:L9"/>
    <mergeCell ref="I10:L10"/>
    <mergeCell ref="D1:J1"/>
    <mergeCell ref="L2:M2"/>
    <mergeCell ref="L3:M3"/>
    <mergeCell ref="I4:M4"/>
    <mergeCell ref="I5:M5"/>
    <mergeCell ref="D2:J2"/>
    <mergeCell ref="D3:J3"/>
    <mergeCell ref="I37:M37"/>
    <mergeCell ref="I12:M12"/>
    <mergeCell ref="I13:L13"/>
    <mergeCell ref="I14:J14"/>
    <mergeCell ref="I19:M19"/>
    <mergeCell ref="I23:M23"/>
    <mergeCell ref="I24:M2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sheetPr>
  <dimension ref="A1:W62"/>
  <sheetViews>
    <sheetView workbookViewId="0"/>
  </sheetViews>
  <sheetFormatPr defaultColWidth="9.125" defaultRowHeight="13.1"/>
  <cols>
    <col min="1" max="1" width="7.625" style="89" customWidth="1"/>
    <col min="2" max="2" width="7.25" style="208" customWidth="1"/>
    <col min="3" max="3" width="10.875" style="208" customWidth="1"/>
    <col min="4" max="4" width="11.375" style="89" customWidth="1"/>
    <col min="5" max="5" width="15.875" style="71" customWidth="1"/>
    <col min="6" max="8" width="17"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529</v>
      </c>
      <c r="B1" s="1564"/>
      <c r="C1" s="1564"/>
      <c r="D1" s="1565"/>
      <c r="E1" s="1018" t="s">
        <v>42</v>
      </c>
      <c r="F1" s="1566"/>
      <c r="G1" s="1567"/>
      <c r="H1" s="1567"/>
      <c r="I1" s="1018" t="s">
        <v>44</v>
      </c>
      <c r="J1" s="1859" t="s">
        <v>518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158">
        <v>21199</v>
      </c>
      <c r="G3" s="1008">
        <v>64</v>
      </c>
      <c r="H3" s="1008"/>
      <c r="I3" s="1008">
        <v>67</v>
      </c>
      <c r="J3" s="1016">
        <f>I3-G3</f>
        <v>3</v>
      </c>
      <c r="K3" s="1033" t="s">
        <v>47</v>
      </c>
      <c r="L3" s="192"/>
      <c r="Q3" s="89"/>
    </row>
    <row r="4" spans="1:17" ht="15.05">
      <c r="C4" s="988">
        <f ca="1">TODAY()</f>
        <v>46198</v>
      </c>
      <c r="E4" s="1065" t="s">
        <v>374</v>
      </c>
      <c r="F4" s="1158">
        <v>21839</v>
      </c>
      <c r="G4" s="1008">
        <v>62</v>
      </c>
      <c r="H4" s="1008"/>
      <c r="I4" s="1008">
        <v>67</v>
      </c>
      <c r="J4" s="971">
        <f>I4-G4</f>
        <v>5</v>
      </c>
      <c r="K4" s="1065" t="s">
        <v>47</v>
      </c>
    </row>
    <row r="5" spans="1:17" s="89" customFormat="1" ht="20.3">
      <c r="B5" s="208"/>
      <c r="C5" s="970">
        <v>2020</v>
      </c>
      <c r="D5" s="192"/>
      <c r="E5" s="925"/>
      <c r="F5" s="192"/>
      <c r="G5" s="192"/>
      <c r="H5" s="192"/>
      <c r="I5" s="969"/>
      <c r="J5" s="192"/>
      <c r="K5" s="192"/>
      <c r="L5" s="969"/>
      <c r="M5" s="371"/>
      <c r="N5" s="192"/>
    </row>
    <row r="6" spans="1:17" s="89" customFormat="1" ht="17.7">
      <c r="A6" s="1788" t="s">
        <v>375</v>
      </c>
      <c r="B6" s="1789"/>
      <c r="C6" s="1790"/>
      <c r="D6" s="1009">
        <v>5416.67</v>
      </c>
      <c r="E6" s="1791" t="s">
        <v>376</v>
      </c>
      <c r="F6" s="1741"/>
      <c r="G6" s="968" t="s">
        <v>377</v>
      </c>
      <c r="H6" s="968"/>
      <c r="J6" s="968" t="s">
        <v>377</v>
      </c>
      <c r="K6" s="974"/>
      <c r="N6" s="16"/>
      <c r="O6" s="16"/>
    </row>
    <row r="7" spans="1:17" s="89" customFormat="1" ht="17.7">
      <c r="A7" s="1854" t="s">
        <v>378</v>
      </c>
      <c r="B7" s="1855"/>
      <c r="C7" s="1856"/>
      <c r="D7" s="1009">
        <v>0</v>
      </c>
      <c r="E7" s="1857" t="s">
        <v>379</v>
      </c>
      <c r="F7" s="1858"/>
      <c r="G7" s="968" t="s">
        <v>519</v>
      </c>
      <c r="H7" s="968"/>
      <c r="I7" s="1015">
        <f>D6+D7</f>
        <v>5416.67</v>
      </c>
      <c r="J7" s="968" t="s">
        <v>380</v>
      </c>
      <c r="K7" s="972">
        <f>D6+D7</f>
        <v>5416.67</v>
      </c>
      <c r="O7" s="16"/>
    </row>
    <row r="10" spans="1:17" ht="17.7">
      <c r="A10" s="1524" t="s">
        <v>50</v>
      </c>
      <c r="B10" s="1524"/>
      <c r="C10" s="1524"/>
      <c r="D10" s="1524"/>
      <c r="E10" s="1010">
        <v>5833.33</v>
      </c>
      <c r="F10" s="966">
        <f>E10*12</f>
        <v>69999.959999999992</v>
      </c>
      <c r="G10" s="192"/>
      <c r="H10" s="192"/>
      <c r="I10" s="973">
        <f>F10*1.25</f>
        <v>87499.949999999983</v>
      </c>
      <c r="J10" s="1734" t="s">
        <v>52</v>
      </c>
      <c r="K10" s="1734"/>
      <c r="L10" s="1734"/>
      <c r="M10" s="1734"/>
      <c r="N10" s="1734"/>
      <c r="O10" s="16"/>
    </row>
    <row r="11" spans="1:17" s="89" customFormat="1" ht="20.3">
      <c r="B11" s="208"/>
      <c r="C11" s="970"/>
      <c r="D11" s="192"/>
      <c r="E11" s="925"/>
      <c r="F11" s="192"/>
      <c r="G11" s="192"/>
      <c r="H11" s="192"/>
      <c r="I11" s="969"/>
      <c r="J11" s="192"/>
      <c r="K11" s="192"/>
      <c r="L11" s="969"/>
      <c r="M11" s="371"/>
      <c r="N11" s="192"/>
    </row>
    <row r="12" spans="1:17" ht="16.05" customHeight="1">
      <c r="A12" s="1742" t="s">
        <v>383</v>
      </c>
      <c r="B12" s="1743"/>
      <c r="C12" s="1744"/>
      <c r="D12" s="1010">
        <v>2746</v>
      </c>
      <c r="E12" s="1013" t="s">
        <v>12</v>
      </c>
      <c r="F12" s="1011">
        <v>67</v>
      </c>
      <c r="G12" s="1745" t="s">
        <v>54</v>
      </c>
      <c r="H12" s="1941"/>
      <c r="I12" s="1021">
        <f>D12*12</f>
        <v>32952</v>
      </c>
      <c r="J12" s="1553" t="s">
        <v>55</v>
      </c>
      <c r="K12" s="1553"/>
      <c r="L12" s="1553"/>
      <c r="M12" s="1553"/>
      <c r="N12" s="1553"/>
      <c r="O12" s="1553"/>
    </row>
    <row r="13" spans="1:17" ht="17.7">
      <c r="A13" s="1866" t="s">
        <v>521</v>
      </c>
      <c r="B13" s="1867"/>
      <c r="C13" s="1868"/>
      <c r="D13" s="1010">
        <v>1373</v>
      </c>
      <c r="E13" s="1066" t="s">
        <v>12</v>
      </c>
      <c r="F13" s="1011">
        <v>67</v>
      </c>
      <c r="G13" s="1869" t="s">
        <v>54</v>
      </c>
      <c r="H13" s="1942"/>
      <c r="I13" s="973">
        <f>D13*12</f>
        <v>16476</v>
      </c>
      <c r="J13" s="1552"/>
      <c r="K13" s="1552"/>
      <c r="L13" s="1002"/>
      <c r="N13" s="16"/>
      <c r="O13" s="16"/>
    </row>
    <row r="14" spans="1:17" s="89" customFormat="1" ht="15.55" customHeight="1">
      <c r="A14" s="1551"/>
      <c r="B14" s="1551"/>
      <c r="C14" s="1551"/>
      <c r="D14" s="1551"/>
      <c r="E14" s="1551"/>
      <c r="F14" s="1551"/>
      <c r="G14" s="1551"/>
      <c r="H14" s="1551"/>
      <c r="I14" s="1551"/>
      <c r="J14" s="1551"/>
      <c r="K14" s="1551"/>
      <c r="L14" s="1551"/>
      <c r="M14" s="1551"/>
      <c r="N14" s="1551"/>
      <c r="O14" s="1551"/>
    </row>
    <row r="15" spans="1:17" s="89" customFormat="1" ht="23.6">
      <c r="A15" s="1897" t="s">
        <v>560</v>
      </c>
      <c r="B15" s="1897"/>
      <c r="C15" s="1897"/>
      <c r="D15" s="1897"/>
      <c r="E15" s="1897"/>
      <c r="F15" s="1897"/>
      <c r="G15" s="1897"/>
      <c r="H15" s="1897"/>
      <c r="I15" s="1897"/>
      <c r="J15" s="1897"/>
      <c r="K15" s="1897"/>
      <c r="L15" s="1897"/>
      <c r="M15" s="1897"/>
      <c r="N15" s="1897"/>
      <c r="O15" s="1898"/>
    </row>
    <row r="16" spans="1:17" ht="23.6">
      <c r="A16" s="1543" t="s">
        <v>57</v>
      </c>
      <c r="B16" s="1544"/>
      <c r="C16" s="1544"/>
      <c r="D16" s="1544"/>
      <c r="E16" s="1544"/>
      <c r="F16" s="1544"/>
      <c r="G16" s="1544"/>
      <c r="H16" s="1544"/>
      <c r="I16" s="1544"/>
      <c r="J16" s="1544"/>
      <c r="K16" s="1544"/>
      <c r="L16" s="1544"/>
      <c r="M16" s="1544"/>
      <c r="N16" s="1544"/>
      <c r="O16" s="1545"/>
    </row>
    <row r="17" spans="1:23" s="37" customFormat="1" ht="87.55" customHeight="1">
      <c r="A17" s="1110"/>
      <c r="B17" s="1110"/>
      <c r="C17" s="1110"/>
      <c r="D17" s="1027" t="s">
        <v>413</v>
      </c>
      <c r="E17" s="1046" t="s">
        <v>524</v>
      </c>
      <c r="F17" s="881" t="s">
        <v>561</v>
      </c>
      <c r="G17" s="592"/>
      <c r="H17" s="592" t="s">
        <v>562</v>
      </c>
      <c r="I17" s="1046" t="s">
        <v>563</v>
      </c>
      <c r="J17" s="374" t="s">
        <v>564</v>
      </c>
      <c r="K17" s="374" t="s">
        <v>565</v>
      </c>
      <c r="L17" s="1046" t="s">
        <v>566</v>
      </c>
      <c r="M17" s="1067" t="s">
        <v>65</v>
      </c>
      <c r="N17" s="1014" t="s">
        <v>66</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c r="I18" s="215">
        <v>0</v>
      </c>
      <c r="J18" s="215">
        <v>0</v>
      </c>
      <c r="K18" s="215"/>
      <c r="L18" s="215">
        <v>0</v>
      </c>
      <c r="M18" s="44">
        <f ca="1">SUM(D18:N18)</f>
        <v>0</v>
      </c>
      <c r="N18" s="215">
        <v>0</v>
      </c>
      <c r="O18" s="215">
        <v>0</v>
      </c>
    </row>
    <row r="19" spans="1:23">
      <c r="A19" s="1540"/>
      <c r="B19" s="1540"/>
      <c r="C19" s="1540"/>
      <c r="D19" s="1005"/>
      <c r="E19" s="1006"/>
      <c r="F19" s="1093">
        <v>1</v>
      </c>
      <c r="G19" s="1154">
        <v>0</v>
      </c>
      <c r="H19" s="1154">
        <v>1</v>
      </c>
      <c r="I19" s="1098">
        <v>0.75</v>
      </c>
      <c r="J19" s="1101">
        <v>1</v>
      </c>
      <c r="K19" s="1101">
        <v>1</v>
      </c>
      <c r="L19" s="1098">
        <v>0</v>
      </c>
      <c r="M19" s="992"/>
      <c r="N19" s="992"/>
      <c r="O19" s="993"/>
    </row>
    <row r="20" spans="1:23">
      <c r="A20" s="1860"/>
      <c r="B20" s="1860"/>
      <c r="C20" s="1861"/>
      <c r="D20" s="976">
        <f>F12</f>
        <v>67</v>
      </c>
      <c r="E20" s="976">
        <f>F13</f>
        <v>67</v>
      </c>
      <c r="F20" s="1095">
        <v>66</v>
      </c>
      <c r="G20" s="1155">
        <v>0</v>
      </c>
      <c r="H20" s="1156">
        <v>68</v>
      </c>
      <c r="I20" s="1099">
        <v>65</v>
      </c>
      <c r="J20" s="1102">
        <v>66</v>
      </c>
      <c r="K20" s="1102">
        <v>0</v>
      </c>
      <c r="L20" s="1099">
        <v>0</v>
      </c>
      <c r="M20" s="990"/>
      <c r="N20" s="989"/>
      <c r="O20" s="994"/>
    </row>
    <row r="21" spans="1:23" ht="14.1" customHeight="1">
      <c r="A21" s="1749" t="s">
        <v>26</v>
      </c>
      <c r="B21" s="1813" t="s">
        <v>390</v>
      </c>
      <c r="C21" s="1862" t="s">
        <v>58</v>
      </c>
      <c r="D21" s="975">
        <f>I12</f>
        <v>32952</v>
      </c>
      <c r="E21" s="975">
        <f>I13</f>
        <v>16476</v>
      </c>
      <c r="F21" s="1096">
        <v>69120</v>
      </c>
      <c r="G21" s="975">
        <v>0</v>
      </c>
      <c r="H21" s="975">
        <v>128661</v>
      </c>
      <c r="I21" s="1100">
        <v>2076</v>
      </c>
      <c r="J21" s="1103">
        <v>12756</v>
      </c>
      <c r="K21" s="1103">
        <v>4800</v>
      </c>
      <c r="L21" s="1100">
        <v>0</v>
      </c>
      <c r="M21" s="990"/>
      <c r="N21" s="989"/>
      <c r="O21" s="994"/>
    </row>
    <row r="22" spans="1:23" ht="14.1" customHeight="1">
      <c r="A22" s="1750"/>
      <c r="B22" s="1814"/>
      <c r="C22" s="1863"/>
      <c r="D22" s="1895"/>
      <c r="E22" s="1895"/>
      <c r="F22" s="1895"/>
      <c r="G22" s="1895"/>
      <c r="H22" s="1895"/>
      <c r="I22" s="1895"/>
      <c r="J22" s="1895"/>
      <c r="K22" s="1895"/>
      <c r="L22" s="1896"/>
      <c r="M22" s="991"/>
      <c r="N22" s="208"/>
      <c r="O22" s="995"/>
    </row>
    <row r="23" spans="1:23" ht="14.4">
      <c r="A23" s="979" t="s">
        <v>527</v>
      </c>
      <c r="B23" s="1051">
        <f>G3</f>
        <v>64</v>
      </c>
      <c r="C23" s="1057">
        <f>G4</f>
        <v>62</v>
      </c>
      <c r="D23" s="982">
        <v>0</v>
      </c>
      <c r="E23" s="982">
        <v>0</v>
      </c>
      <c r="F23" s="982">
        <v>0</v>
      </c>
      <c r="G23" s="982">
        <v>0</v>
      </c>
      <c r="H23" s="982">
        <v>0</v>
      </c>
      <c r="I23" s="1025">
        <v>2076</v>
      </c>
      <c r="J23" s="982">
        <v>0</v>
      </c>
      <c r="K23" s="982">
        <v>0</v>
      </c>
      <c r="L23" s="982">
        <v>0</v>
      </c>
      <c r="M23" s="980">
        <f>D23+E23+F23+G23+H23+I23+J23+K23+L23</f>
        <v>2076</v>
      </c>
      <c r="N23" s="967">
        <f>I10</f>
        <v>87499.949999999983</v>
      </c>
      <c r="O23" s="977">
        <f>M23-N24</f>
        <v>-85423.949999999983</v>
      </c>
    </row>
    <row r="24" spans="1:23" ht="14.4">
      <c r="A24" s="119">
        <f t="shared" ref="A24:C39" si="0">A23+1</f>
        <v>2023</v>
      </c>
      <c r="B24" s="1052">
        <f t="shared" si="0"/>
        <v>65</v>
      </c>
      <c r="C24" s="1058">
        <f t="shared" si="0"/>
        <v>63</v>
      </c>
      <c r="D24" s="1026">
        <v>33768</v>
      </c>
      <c r="E24" s="1025">
        <v>14388</v>
      </c>
      <c r="F24" s="719">
        <v>2542.37</v>
      </c>
      <c r="G24" s="982">
        <v>0</v>
      </c>
      <c r="H24" s="982">
        <v>0</v>
      </c>
      <c r="I24" s="1025">
        <v>2076</v>
      </c>
      <c r="J24" s="1026">
        <v>12756</v>
      </c>
      <c r="K24" s="1026">
        <v>4800</v>
      </c>
      <c r="L24" s="1025">
        <v>1500</v>
      </c>
      <c r="M24" s="980">
        <f t="shared" ref="M24:M44" si="1">D24+E24+F24+G24+H24+I24+J24+K24+L24</f>
        <v>71830.37</v>
      </c>
      <c r="N24" s="967">
        <f>I10</f>
        <v>87499.949999999983</v>
      </c>
      <c r="O24" s="977">
        <f t="shared" ref="O24:O51" si="2">M24-N25</f>
        <v>-15669.579999999987</v>
      </c>
    </row>
    <row r="25" spans="1:23" ht="14.4">
      <c r="A25" s="155">
        <f t="shared" si="0"/>
        <v>2024</v>
      </c>
      <c r="B25" s="1053">
        <f t="shared" si="0"/>
        <v>66</v>
      </c>
      <c r="C25" s="1057">
        <f t="shared" si="0"/>
        <v>64</v>
      </c>
      <c r="D25" s="1026">
        <v>33768</v>
      </c>
      <c r="E25" s="1025">
        <v>14388</v>
      </c>
      <c r="F25" s="719">
        <v>2542.37</v>
      </c>
      <c r="G25" s="982">
        <v>0</v>
      </c>
      <c r="H25" s="982">
        <v>0</v>
      </c>
      <c r="I25" s="1025">
        <v>2076</v>
      </c>
      <c r="J25" s="1026">
        <v>12756</v>
      </c>
      <c r="K25" s="1026">
        <v>4800</v>
      </c>
      <c r="L25" s="1025">
        <v>1500</v>
      </c>
      <c r="M25" s="980">
        <f t="shared" si="1"/>
        <v>71830.37</v>
      </c>
      <c r="N25" s="967">
        <f>I10</f>
        <v>87499.949999999983</v>
      </c>
      <c r="O25" s="977">
        <f t="shared" si="2"/>
        <v>-15669.579999999987</v>
      </c>
    </row>
    <row r="26" spans="1:23" ht="14.4">
      <c r="A26" s="119">
        <f t="shared" si="0"/>
        <v>2025</v>
      </c>
      <c r="B26" s="1054">
        <f t="shared" si="0"/>
        <v>67</v>
      </c>
      <c r="C26" s="1059">
        <f t="shared" si="0"/>
        <v>65</v>
      </c>
      <c r="D26" s="1026">
        <v>33768</v>
      </c>
      <c r="E26" s="1025">
        <v>14388</v>
      </c>
      <c r="F26" s="719">
        <v>2542.37</v>
      </c>
      <c r="G26" s="982">
        <v>0</v>
      </c>
      <c r="H26" s="982">
        <v>5389</v>
      </c>
      <c r="I26" s="1025">
        <v>2076</v>
      </c>
      <c r="J26" s="1026">
        <v>12756</v>
      </c>
      <c r="K26" s="1026">
        <v>4800</v>
      </c>
      <c r="L26" s="1025">
        <v>1500</v>
      </c>
      <c r="M26" s="980">
        <f t="shared" si="1"/>
        <v>77219.37</v>
      </c>
      <c r="N26" s="967">
        <f>I10</f>
        <v>87499.949999999983</v>
      </c>
      <c r="O26" s="977">
        <f t="shared" si="2"/>
        <v>-10280.579999999987</v>
      </c>
    </row>
    <row r="27" spans="1:23" ht="14.4">
      <c r="A27" s="119">
        <f t="shared" si="0"/>
        <v>2026</v>
      </c>
      <c r="B27" s="1053">
        <f t="shared" si="0"/>
        <v>68</v>
      </c>
      <c r="C27" s="1057">
        <f t="shared" si="0"/>
        <v>66</v>
      </c>
      <c r="D27" s="1026">
        <v>33768</v>
      </c>
      <c r="E27" s="1025">
        <v>14388</v>
      </c>
      <c r="F27" s="719">
        <v>2542.37</v>
      </c>
      <c r="G27" s="982">
        <v>0</v>
      </c>
      <c r="H27" s="982">
        <v>5389</v>
      </c>
      <c r="I27" s="1025">
        <v>2076</v>
      </c>
      <c r="J27" s="1026">
        <v>12756</v>
      </c>
      <c r="K27" s="1026">
        <v>4800</v>
      </c>
      <c r="L27" s="1025">
        <v>1500</v>
      </c>
      <c r="M27" s="980">
        <f t="shared" si="1"/>
        <v>77219.37</v>
      </c>
      <c r="N27" s="967">
        <f>I10</f>
        <v>87499.949999999983</v>
      </c>
      <c r="O27" s="977">
        <f t="shared" si="2"/>
        <v>-10280.579999999987</v>
      </c>
    </row>
    <row r="28" spans="1:23" ht="14.4">
      <c r="A28" s="119">
        <f t="shared" si="0"/>
        <v>2027</v>
      </c>
      <c r="B28" s="1052">
        <f t="shared" si="0"/>
        <v>69</v>
      </c>
      <c r="C28" s="1060">
        <f t="shared" si="0"/>
        <v>67</v>
      </c>
      <c r="D28" s="1026">
        <v>33768</v>
      </c>
      <c r="E28" s="1025">
        <v>14388</v>
      </c>
      <c r="F28" s="719">
        <v>2542.37</v>
      </c>
      <c r="G28" s="982">
        <v>0</v>
      </c>
      <c r="H28" s="982">
        <v>5389</v>
      </c>
      <c r="I28" s="1025">
        <v>2076</v>
      </c>
      <c r="J28" s="1026">
        <v>12756</v>
      </c>
      <c r="K28" s="1026">
        <v>4800</v>
      </c>
      <c r="L28" s="1025">
        <v>1500</v>
      </c>
      <c r="M28" s="980">
        <f t="shared" si="1"/>
        <v>77219.37</v>
      </c>
      <c r="N28" s="967">
        <f>I10</f>
        <v>87499.949999999983</v>
      </c>
      <c r="O28" s="977">
        <f t="shared" si="2"/>
        <v>-10280.579999999987</v>
      </c>
    </row>
    <row r="29" spans="1:23" ht="14.4">
      <c r="A29" s="155">
        <f t="shared" si="0"/>
        <v>2028</v>
      </c>
      <c r="B29" s="1053">
        <f t="shared" si="0"/>
        <v>70</v>
      </c>
      <c r="C29" s="1057">
        <f t="shared" si="0"/>
        <v>68</v>
      </c>
      <c r="D29" s="1026">
        <v>33768</v>
      </c>
      <c r="E29" s="1025">
        <v>14388</v>
      </c>
      <c r="F29" s="719">
        <v>2542.37</v>
      </c>
      <c r="G29" s="982">
        <v>0</v>
      </c>
      <c r="H29" s="982">
        <v>5389</v>
      </c>
      <c r="I29" s="1025">
        <v>2076</v>
      </c>
      <c r="J29" s="1026">
        <v>12756</v>
      </c>
      <c r="K29" s="1026">
        <v>4800</v>
      </c>
      <c r="L29" s="1025">
        <v>1500</v>
      </c>
      <c r="M29" s="980">
        <f t="shared" si="1"/>
        <v>77219.37</v>
      </c>
      <c r="N29" s="967">
        <f>I10</f>
        <v>87499.949999999983</v>
      </c>
      <c r="O29" s="977">
        <f t="shared" si="2"/>
        <v>-10280.579999999987</v>
      </c>
    </row>
    <row r="30" spans="1:23" ht="14.4">
      <c r="A30" s="119">
        <f t="shared" si="0"/>
        <v>2029</v>
      </c>
      <c r="B30" s="1054">
        <f t="shared" si="0"/>
        <v>71</v>
      </c>
      <c r="C30" s="1059">
        <f t="shared" si="0"/>
        <v>69</v>
      </c>
      <c r="D30" s="1026">
        <v>33768</v>
      </c>
      <c r="E30" s="1025">
        <v>14388</v>
      </c>
      <c r="F30" s="719">
        <v>2542.37</v>
      </c>
      <c r="G30" s="982">
        <v>0</v>
      </c>
      <c r="H30" s="982">
        <v>5389</v>
      </c>
      <c r="I30" s="1025">
        <v>2076</v>
      </c>
      <c r="J30" s="1026">
        <v>12756</v>
      </c>
      <c r="K30" s="1026">
        <v>4800</v>
      </c>
      <c r="L30" s="1025">
        <v>1500</v>
      </c>
      <c r="M30" s="980">
        <f t="shared" si="1"/>
        <v>77219.37</v>
      </c>
      <c r="N30" s="967">
        <f>I10</f>
        <v>87499.949999999983</v>
      </c>
      <c r="O30" s="977">
        <f t="shared" si="2"/>
        <v>-10280.579999999987</v>
      </c>
    </row>
    <row r="31" spans="1:23" ht="14.4">
      <c r="A31" s="119">
        <f t="shared" si="0"/>
        <v>2030</v>
      </c>
      <c r="B31" s="1053">
        <f t="shared" si="0"/>
        <v>72</v>
      </c>
      <c r="C31" s="1057">
        <f t="shared" si="0"/>
        <v>70</v>
      </c>
      <c r="D31" s="1026">
        <v>33768</v>
      </c>
      <c r="E31" s="1025">
        <v>14388</v>
      </c>
      <c r="F31" s="719">
        <v>2542.37</v>
      </c>
      <c r="G31" s="982">
        <v>0</v>
      </c>
      <c r="H31" s="982">
        <v>5389</v>
      </c>
      <c r="I31" s="1025">
        <v>2076</v>
      </c>
      <c r="J31" s="1026">
        <v>12756</v>
      </c>
      <c r="K31" s="1026">
        <v>4800</v>
      </c>
      <c r="L31" s="1025">
        <v>1500</v>
      </c>
      <c r="M31" s="980">
        <f t="shared" si="1"/>
        <v>77219.37</v>
      </c>
      <c r="N31" s="967">
        <f>I10</f>
        <v>87499.949999999983</v>
      </c>
      <c r="O31" s="977">
        <f t="shared" si="2"/>
        <v>-10280.579999999987</v>
      </c>
    </row>
    <row r="32" spans="1:23" ht="14.4">
      <c r="A32" s="119">
        <f t="shared" si="0"/>
        <v>2031</v>
      </c>
      <c r="B32" s="1053">
        <f t="shared" si="0"/>
        <v>73</v>
      </c>
      <c r="C32" s="1057">
        <f t="shared" si="0"/>
        <v>71</v>
      </c>
      <c r="D32" s="1026">
        <v>33768</v>
      </c>
      <c r="E32" s="1025">
        <v>14388</v>
      </c>
      <c r="F32" s="719">
        <v>2542.37</v>
      </c>
      <c r="G32" s="982">
        <v>0</v>
      </c>
      <c r="H32" s="982">
        <v>5389</v>
      </c>
      <c r="I32" s="1025">
        <v>2076</v>
      </c>
      <c r="J32" s="1026">
        <v>12756</v>
      </c>
      <c r="K32" s="1026">
        <v>4800</v>
      </c>
      <c r="L32" s="1025">
        <v>1500</v>
      </c>
      <c r="M32" s="980">
        <f t="shared" si="1"/>
        <v>77219.37</v>
      </c>
      <c r="N32" s="967">
        <f>I10</f>
        <v>87499.949999999983</v>
      </c>
      <c r="O32" s="977">
        <f t="shared" si="2"/>
        <v>-10280.579999999987</v>
      </c>
    </row>
    <row r="33" spans="1:15" ht="14.4">
      <c r="A33" s="119">
        <f t="shared" si="0"/>
        <v>2032</v>
      </c>
      <c r="B33" s="1053">
        <f t="shared" si="0"/>
        <v>74</v>
      </c>
      <c r="C33" s="1057">
        <f t="shared" si="0"/>
        <v>72</v>
      </c>
      <c r="D33" s="1026">
        <v>33768</v>
      </c>
      <c r="E33" s="1025">
        <v>14388</v>
      </c>
      <c r="F33" s="719">
        <v>2542.37</v>
      </c>
      <c r="G33" s="982">
        <v>0</v>
      </c>
      <c r="H33" s="982">
        <v>5389</v>
      </c>
      <c r="I33" s="1025">
        <v>2076</v>
      </c>
      <c r="J33" s="1026">
        <v>12756</v>
      </c>
      <c r="K33" s="1026">
        <v>4800</v>
      </c>
      <c r="L33" s="1025">
        <v>1500</v>
      </c>
      <c r="M33" s="980">
        <f t="shared" si="1"/>
        <v>77219.37</v>
      </c>
      <c r="N33" s="967">
        <f>I10</f>
        <v>87499.949999999983</v>
      </c>
      <c r="O33" s="977">
        <f t="shared" si="2"/>
        <v>-10280.579999999987</v>
      </c>
    </row>
    <row r="34" spans="1:15" ht="14.4">
      <c r="A34" s="119">
        <f t="shared" si="0"/>
        <v>2033</v>
      </c>
      <c r="B34" s="1053">
        <f t="shared" si="0"/>
        <v>75</v>
      </c>
      <c r="C34" s="1057">
        <f t="shared" si="0"/>
        <v>73</v>
      </c>
      <c r="D34" s="1026">
        <v>33768</v>
      </c>
      <c r="E34" s="1025">
        <v>14388</v>
      </c>
      <c r="F34" s="719">
        <v>2542.37</v>
      </c>
      <c r="G34" s="982">
        <v>0</v>
      </c>
      <c r="H34" s="982">
        <v>5389</v>
      </c>
      <c r="I34" s="982">
        <v>0</v>
      </c>
      <c r="J34" s="1026">
        <v>12756</v>
      </c>
      <c r="K34" s="1026">
        <v>4800</v>
      </c>
      <c r="L34" s="1025">
        <v>1500</v>
      </c>
      <c r="M34" s="980">
        <f t="shared" si="1"/>
        <v>75143.37</v>
      </c>
      <c r="N34" s="967">
        <f>I10</f>
        <v>87499.949999999983</v>
      </c>
      <c r="O34" s="977">
        <f t="shared" si="2"/>
        <v>-12356.579999999987</v>
      </c>
    </row>
    <row r="35" spans="1:15" ht="14.4">
      <c r="A35" s="119">
        <f t="shared" si="0"/>
        <v>2034</v>
      </c>
      <c r="B35" s="1053">
        <f t="shared" si="0"/>
        <v>76</v>
      </c>
      <c r="C35" s="1057">
        <f t="shared" si="0"/>
        <v>74</v>
      </c>
      <c r="D35" s="1026">
        <v>33768</v>
      </c>
      <c r="E35" s="1025">
        <v>14388</v>
      </c>
      <c r="F35" s="719">
        <v>2542.37</v>
      </c>
      <c r="G35" s="982">
        <v>0</v>
      </c>
      <c r="H35" s="982">
        <v>5389</v>
      </c>
      <c r="I35" s="982">
        <v>0</v>
      </c>
      <c r="J35" s="1026">
        <v>12756</v>
      </c>
      <c r="K35" s="1026">
        <v>4800</v>
      </c>
      <c r="L35" s="1025">
        <v>1500</v>
      </c>
      <c r="M35" s="980">
        <f t="shared" si="1"/>
        <v>75143.37</v>
      </c>
      <c r="N35" s="967">
        <f>I10</f>
        <v>87499.949999999983</v>
      </c>
      <c r="O35" s="977">
        <f t="shared" si="2"/>
        <v>-12356.579999999987</v>
      </c>
    </row>
    <row r="36" spans="1:15" ht="14.4">
      <c r="A36" s="119">
        <f t="shared" si="0"/>
        <v>2035</v>
      </c>
      <c r="B36" s="1053">
        <f t="shared" si="0"/>
        <v>77</v>
      </c>
      <c r="C36" s="1057">
        <f t="shared" si="0"/>
        <v>75</v>
      </c>
      <c r="D36" s="1026">
        <v>33768</v>
      </c>
      <c r="E36" s="1025">
        <v>14388</v>
      </c>
      <c r="F36" s="719">
        <v>2542.37</v>
      </c>
      <c r="G36" s="982">
        <v>0</v>
      </c>
      <c r="H36" s="982">
        <v>5389</v>
      </c>
      <c r="I36" s="982">
        <v>0</v>
      </c>
      <c r="J36" s="1026">
        <v>12756</v>
      </c>
      <c r="K36" s="1026">
        <v>4800</v>
      </c>
      <c r="L36" s="1025">
        <v>1500</v>
      </c>
      <c r="M36" s="980">
        <f t="shared" si="1"/>
        <v>75143.37</v>
      </c>
      <c r="N36" s="967">
        <f>I10</f>
        <v>87499.949999999983</v>
      </c>
      <c r="O36" s="977">
        <f t="shared" si="2"/>
        <v>-12356.579999999987</v>
      </c>
    </row>
    <row r="37" spans="1:15" ht="14.4">
      <c r="A37" s="119">
        <f t="shared" si="0"/>
        <v>2036</v>
      </c>
      <c r="B37" s="1053">
        <f t="shared" si="0"/>
        <v>78</v>
      </c>
      <c r="C37" s="1057">
        <f t="shared" si="0"/>
        <v>76</v>
      </c>
      <c r="D37" s="1026">
        <v>33768</v>
      </c>
      <c r="E37" s="1025">
        <v>14388</v>
      </c>
      <c r="F37" s="719">
        <v>2542.37</v>
      </c>
      <c r="G37" s="982">
        <v>0</v>
      </c>
      <c r="H37" s="982">
        <v>5389</v>
      </c>
      <c r="I37" s="982">
        <v>0</v>
      </c>
      <c r="J37" s="1026">
        <v>12756</v>
      </c>
      <c r="K37" s="1026">
        <v>4800</v>
      </c>
      <c r="L37" s="1025">
        <v>1500</v>
      </c>
      <c r="M37" s="980">
        <f t="shared" si="1"/>
        <v>75143.37</v>
      </c>
      <c r="N37" s="967">
        <f>I10</f>
        <v>87499.949999999983</v>
      </c>
      <c r="O37" s="977">
        <f t="shared" si="2"/>
        <v>-12356.579999999987</v>
      </c>
    </row>
    <row r="38" spans="1:15" ht="14.4">
      <c r="A38" s="155">
        <f t="shared" si="0"/>
        <v>2037</v>
      </c>
      <c r="B38" s="1053">
        <f t="shared" si="0"/>
        <v>79</v>
      </c>
      <c r="C38" s="1061">
        <f t="shared" si="0"/>
        <v>77</v>
      </c>
      <c r="D38" s="1026">
        <v>33768</v>
      </c>
      <c r="E38" s="1025">
        <v>14388</v>
      </c>
      <c r="F38" s="719">
        <v>2542.37</v>
      </c>
      <c r="G38" s="982">
        <v>0</v>
      </c>
      <c r="H38" s="982">
        <v>5389</v>
      </c>
      <c r="I38" s="982">
        <v>0</v>
      </c>
      <c r="J38" s="1026">
        <v>12756</v>
      </c>
      <c r="K38" s="1026">
        <v>4800</v>
      </c>
      <c r="L38" s="1025">
        <v>1500</v>
      </c>
      <c r="M38" s="980">
        <f t="shared" si="1"/>
        <v>75143.37</v>
      </c>
      <c r="N38" s="967">
        <f>I10</f>
        <v>87499.949999999983</v>
      </c>
      <c r="O38" s="977">
        <f t="shared" si="2"/>
        <v>-12356.579999999987</v>
      </c>
    </row>
    <row r="39" spans="1:15" ht="14.4">
      <c r="A39" s="119">
        <f t="shared" si="0"/>
        <v>2038</v>
      </c>
      <c r="B39" s="1054">
        <f t="shared" si="0"/>
        <v>80</v>
      </c>
      <c r="C39" s="1057">
        <f t="shared" si="0"/>
        <v>78</v>
      </c>
      <c r="D39" s="1026">
        <v>33768</v>
      </c>
      <c r="E39" s="1025">
        <v>14388</v>
      </c>
      <c r="F39" s="719">
        <v>2542.37</v>
      </c>
      <c r="G39" s="982">
        <v>0</v>
      </c>
      <c r="H39" s="982">
        <v>5389</v>
      </c>
      <c r="I39" s="982">
        <v>0</v>
      </c>
      <c r="J39" s="1026">
        <v>12756</v>
      </c>
      <c r="K39" s="1026">
        <v>4800</v>
      </c>
      <c r="L39" s="1025">
        <v>1500</v>
      </c>
      <c r="M39" s="980">
        <f t="shared" si="1"/>
        <v>75143.37</v>
      </c>
      <c r="N39" s="967">
        <f>I10</f>
        <v>87499.949999999983</v>
      </c>
      <c r="O39" s="977">
        <f t="shared" si="2"/>
        <v>-12356.579999999987</v>
      </c>
    </row>
    <row r="40" spans="1:15" ht="14.4">
      <c r="A40" s="119">
        <f t="shared" ref="A40:C52" si="3">A39+1</f>
        <v>2039</v>
      </c>
      <c r="B40" s="1053">
        <f t="shared" si="3"/>
        <v>81</v>
      </c>
      <c r="C40" s="1057">
        <f t="shared" si="3"/>
        <v>79</v>
      </c>
      <c r="D40" s="1026">
        <v>33768</v>
      </c>
      <c r="E40" s="1025">
        <v>14388</v>
      </c>
      <c r="F40" s="719">
        <v>2542.37</v>
      </c>
      <c r="G40" s="982">
        <v>0</v>
      </c>
      <c r="H40" s="982">
        <v>5389</v>
      </c>
      <c r="I40" s="982">
        <v>0</v>
      </c>
      <c r="J40" s="1026">
        <v>12756</v>
      </c>
      <c r="K40" s="1026">
        <v>4800</v>
      </c>
      <c r="L40" s="1025">
        <v>1500</v>
      </c>
      <c r="M40" s="980">
        <f t="shared" si="1"/>
        <v>75143.37</v>
      </c>
      <c r="N40" s="967">
        <f>I10</f>
        <v>87499.949999999983</v>
      </c>
      <c r="O40" s="977">
        <f>M40-N41</f>
        <v>-12356.579999999987</v>
      </c>
    </row>
    <row r="41" spans="1:15" ht="14.4">
      <c r="A41" s="119">
        <f>A40+1</f>
        <v>2040</v>
      </c>
      <c r="B41" s="1053">
        <f>B40+1</f>
        <v>82</v>
      </c>
      <c r="C41" s="1057">
        <f>C40+1</f>
        <v>80</v>
      </c>
      <c r="D41" s="1026">
        <v>33768</v>
      </c>
      <c r="E41" s="1025">
        <v>14388</v>
      </c>
      <c r="F41" s="719">
        <v>2542.37</v>
      </c>
      <c r="G41" s="982">
        <v>0</v>
      </c>
      <c r="H41" s="982">
        <v>5389</v>
      </c>
      <c r="I41" s="982">
        <v>0</v>
      </c>
      <c r="J41" s="1026">
        <v>12756</v>
      </c>
      <c r="K41" s="1026">
        <v>4800</v>
      </c>
      <c r="L41" s="1025">
        <v>1500</v>
      </c>
      <c r="M41" s="980">
        <f t="shared" si="1"/>
        <v>75143.37</v>
      </c>
      <c r="N41" s="967">
        <f>I10</f>
        <v>87499.949999999983</v>
      </c>
      <c r="O41" s="977">
        <f t="shared" si="2"/>
        <v>-12356.579999999987</v>
      </c>
    </row>
    <row r="42" spans="1:15" ht="14.4">
      <c r="A42" s="119">
        <f t="shared" si="3"/>
        <v>2041</v>
      </c>
      <c r="B42" s="1053">
        <f t="shared" si="3"/>
        <v>83</v>
      </c>
      <c r="C42" s="1057">
        <f t="shared" si="3"/>
        <v>81</v>
      </c>
      <c r="D42" s="1026">
        <v>33768</v>
      </c>
      <c r="E42" s="1025">
        <v>14388</v>
      </c>
      <c r="F42" s="719">
        <v>2542.37</v>
      </c>
      <c r="G42" s="982">
        <v>0</v>
      </c>
      <c r="H42" s="982">
        <v>5389</v>
      </c>
      <c r="I42" s="982">
        <v>0</v>
      </c>
      <c r="J42" s="1026">
        <v>12756</v>
      </c>
      <c r="K42" s="1026">
        <v>4800</v>
      </c>
      <c r="L42" s="1025">
        <v>1500</v>
      </c>
      <c r="M42" s="980">
        <f t="shared" si="1"/>
        <v>75143.37</v>
      </c>
      <c r="N42" s="967">
        <f>I10</f>
        <v>87499.949999999983</v>
      </c>
      <c r="O42" s="977">
        <f t="shared" si="2"/>
        <v>-12356.579999999987</v>
      </c>
    </row>
    <row r="43" spans="1:15" ht="14.4">
      <c r="A43" s="119">
        <f t="shared" si="3"/>
        <v>2042</v>
      </c>
      <c r="B43" s="1053">
        <f t="shared" si="3"/>
        <v>84</v>
      </c>
      <c r="C43" s="1057">
        <f t="shared" si="3"/>
        <v>82</v>
      </c>
      <c r="D43" s="1026">
        <v>33768</v>
      </c>
      <c r="E43" s="1025">
        <v>14388</v>
      </c>
      <c r="F43" s="719">
        <v>2542.37</v>
      </c>
      <c r="G43" s="982">
        <v>0</v>
      </c>
      <c r="H43" s="982">
        <v>5389</v>
      </c>
      <c r="I43" s="982">
        <v>0</v>
      </c>
      <c r="J43" s="1026">
        <v>12756</v>
      </c>
      <c r="K43" s="1026">
        <v>4800</v>
      </c>
      <c r="L43" s="1025">
        <v>1500</v>
      </c>
      <c r="M43" s="980">
        <f t="shared" si="1"/>
        <v>75143.37</v>
      </c>
      <c r="N43" s="967">
        <f>I10</f>
        <v>87499.949999999983</v>
      </c>
      <c r="O43" s="977">
        <f t="shared" si="2"/>
        <v>-12356.579999999987</v>
      </c>
    </row>
    <row r="44" spans="1:15" ht="14.4">
      <c r="A44" s="119">
        <f t="shared" si="3"/>
        <v>2043</v>
      </c>
      <c r="B44" s="1053">
        <f t="shared" si="3"/>
        <v>85</v>
      </c>
      <c r="C44" s="1057">
        <f t="shared" si="3"/>
        <v>83</v>
      </c>
      <c r="D44" s="1026">
        <v>33768</v>
      </c>
      <c r="E44" s="1025">
        <v>14388</v>
      </c>
      <c r="F44" s="719">
        <v>2542.37</v>
      </c>
      <c r="G44" s="982">
        <v>0</v>
      </c>
      <c r="H44" s="982">
        <v>5389</v>
      </c>
      <c r="I44" s="982">
        <v>0</v>
      </c>
      <c r="J44" s="1026">
        <v>12756</v>
      </c>
      <c r="K44" s="1026">
        <v>4800</v>
      </c>
      <c r="L44" s="1025">
        <v>1500</v>
      </c>
      <c r="M44" s="980">
        <f t="shared" si="1"/>
        <v>75143.37</v>
      </c>
      <c r="N44" s="967">
        <f>I10</f>
        <v>87499.949999999983</v>
      </c>
      <c r="O44" s="977">
        <f>M44-N49</f>
        <v>-12356.579999999987</v>
      </c>
    </row>
    <row r="45" spans="1:15" ht="12.45">
      <c r="A45" s="1899"/>
      <c r="B45" s="1900"/>
      <c r="C45" s="1900"/>
      <c r="D45" s="1900"/>
      <c r="E45" s="1900"/>
      <c r="F45" s="1900"/>
      <c r="G45" s="1900"/>
      <c r="H45" s="1900"/>
      <c r="I45" s="1900"/>
      <c r="J45" s="1900"/>
      <c r="K45" s="1900"/>
      <c r="L45" s="1900"/>
      <c r="M45" s="1900"/>
      <c r="N45" s="1900"/>
      <c r="O45" s="1901"/>
    </row>
    <row r="46" spans="1:15" ht="23.6">
      <c r="A46" s="1902" t="s">
        <v>528</v>
      </c>
      <c r="B46" s="1903"/>
      <c r="C46" s="1903"/>
      <c r="D46" s="1903"/>
      <c r="E46" s="1903"/>
      <c r="F46" s="1903"/>
      <c r="G46" s="1903"/>
      <c r="H46" s="1903"/>
      <c r="I46" s="1903"/>
      <c r="J46" s="1903"/>
      <c r="K46" s="1903"/>
      <c r="L46" s="1903"/>
      <c r="M46" s="1903"/>
      <c r="N46" s="1903"/>
      <c r="O46" s="1903"/>
    </row>
    <row r="47" spans="1:15" ht="12.45">
      <c r="A47" s="1904"/>
      <c r="B47" s="1905"/>
      <c r="C47" s="1905"/>
      <c r="D47" s="1905"/>
      <c r="E47" s="1905"/>
      <c r="F47" s="1905"/>
      <c r="G47" s="1905"/>
      <c r="H47" s="1905"/>
      <c r="I47" s="1905"/>
      <c r="J47" s="1905"/>
      <c r="K47" s="1905"/>
      <c r="L47" s="1905"/>
      <c r="M47" s="1905"/>
      <c r="N47" s="1905"/>
      <c r="O47" s="1906"/>
    </row>
    <row r="48" spans="1:15" ht="18.350000000000001">
      <c r="A48" s="1881" t="s">
        <v>392</v>
      </c>
      <c r="B48" s="1882"/>
      <c r="C48" s="1882"/>
      <c r="D48" s="1882"/>
      <c r="E48" s="1882"/>
      <c r="F48" s="1882"/>
      <c r="G48" s="1882"/>
      <c r="H48" s="1882"/>
      <c r="I48" s="1882"/>
      <c r="J48" s="1882"/>
      <c r="K48" s="1882"/>
      <c r="L48" s="1882"/>
      <c r="M48" s="1882"/>
      <c r="N48" s="1882"/>
      <c r="O48" s="1883"/>
    </row>
    <row r="49" spans="1:16" ht="15.05">
      <c r="A49" s="1055">
        <f>A44+1</f>
        <v>2044</v>
      </c>
      <c r="B49" s="1056">
        <f>B44+1</f>
        <v>86</v>
      </c>
      <c r="C49" s="1062">
        <f>C44+1</f>
        <v>84</v>
      </c>
      <c r="D49" s="1026">
        <v>33768</v>
      </c>
      <c r="E49" s="1025">
        <v>0</v>
      </c>
      <c r="F49" s="719">
        <v>2542.37</v>
      </c>
      <c r="G49" s="982">
        <v>0</v>
      </c>
      <c r="H49" s="982">
        <v>5389</v>
      </c>
      <c r="I49" s="1025">
        <v>0</v>
      </c>
      <c r="J49" s="1026">
        <v>12758</v>
      </c>
      <c r="K49" s="1026">
        <v>4800</v>
      </c>
      <c r="L49" s="1025">
        <v>1500</v>
      </c>
      <c r="M49" s="980">
        <f t="shared" ref="M49:M57" si="4">D49+E49+F49+G49+H49+I49+J49+K49+L49</f>
        <v>60757.37</v>
      </c>
      <c r="N49" s="967">
        <f>I10</f>
        <v>87499.949999999983</v>
      </c>
      <c r="O49" s="1157">
        <f>M49-N54</f>
        <v>-26742.57999999998</v>
      </c>
    </row>
    <row r="50" spans="1:16" ht="14.4">
      <c r="A50" s="119">
        <f t="shared" si="3"/>
        <v>2045</v>
      </c>
      <c r="B50" s="1054">
        <f t="shared" si="3"/>
        <v>87</v>
      </c>
      <c r="C50" s="1057">
        <f t="shared" si="3"/>
        <v>85</v>
      </c>
      <c r="D50" s="1026">
        <v>33768</v>
      </c>
      <c r="E50" s="1025">
        <v>0</v>
      </c>
      <c r="F50" s="719">
        <v>2542.37</v>
      </c>
      <c r="G50" s="982">
        <v>0</v>
      </c>
      <c r="H50" s="982">
        <v>5389</v>
      </c>
      <c r="I50" s="1025">
        <v>0</v>
      </c>
      <c r="J50" s="1026">
        <v>12758</v>
      </c>
      <c r="K50" s="1026">
        <v>4800</v>
      </c>
      <c r="L50" s="1025">
        <v>1500</v>
      </c>
      <c r="M50" s="980">
        <f t="shared" si="4"/>
        <v>60757.37</v>
      </c>
      <c r="N50" s="967">
        <f>I10</f>
        <v>87499.949999999983</v>
      </c>
      <c r="O50" s="977">
        <f t="shared" si="2"/>
        <v>-26742.57999999998</v>
      </c>
    </row>
    <row r="51" spans="1:16" ht="14.4">
      <c r="A51" s="119">
        <f t="shared" si="3"/>
        <v>2046</v>
      </c>
      <c r="B51" s="1053">
        <f t="shared" si="3"/>
        <v>88</v>
      </c>
      <c r="C51" s="1057">
        <f t="shared" si="3"/>
        <v>86</v>
      </c>
      <c r="D51" s="1026">
        <v>33768</v>
      </c>
      <c r="E51" s="1025">
        <v>0</v>
      </c>
      <c r="F51" s="719">
        <v>2542.37</v>
      </c>
      <c r="G51" s="982">
        <v>0</v>
      </c>
      <c r="H51" s="982">
        <v>5389</v>
      </c>
      <c r="I51" s="1025">
        <v>0</v>
      </c>
      <c r="J51" s="1026">
        <v>12758</v>
      </c>
      <c r="K51" s="1026">
        <v>4800</v>
      </c>
      <c r="L51" s="1025">
        <v>1500</v>
      </c>
      <c r="M51" s="980">
        <f t="shared" si="4"/>
        <v>60757.37</v>
      </c>
      <c r="N51" s="967">
        <f>I10</f>
        <v>87499.949999999983</v>
      </c>
      <c r="O51" s="977">
        <f t="shared" si="2"/>
        <v>-26742.57999999998</v>
      </c>
    </row>
    <row r="52" spans="1:16" ht="14.4">
      <c r="A52" s="144">
        <f t="shared" si="3"/>
        <v>2047</v>
      </c>
      <c r="B52" s="1052">
        <f t="shared" si="3"/>
        <v>89</v>
      </c>
      <c r="C52" s="1060">
        <f t="shared" si="3"/>
        <v>87</v>
      </c>
      <c r="D52" s="1026">
        <v>33768</v>
      </c>
      <c r="E52" s="1025">
        <v>0</v>
      </c>
      <c r="F52" s="719">
        <v>2542.37</v>
      </c>
      <c r="G52" s="982">
        <v>0</v>
      </c>
      <c r="H52" s="982">
        <v>5389</v>
      </c>
      <c r="I52" s="1025">
        <v>0</v>
      </c>
      <c r="J52" s="1026">
        <v>12758</v>
      </c>
      <c r="K52" s="1026">
        <v>4800</v>
      </c>
      <c r="L52" s="1025">
        <v>1500</v>
      </c>
      <c r="M52" s="980">
        <f t="shared" si="4"/>
        <v>60757.37</v>
      </c>
      <c r="N52" s="984">
        <f>I10</f>
        <v>87499.949999999983</v>
      </c>
      <c r="O52" s="985">
        <f>M52-N54</f>
        <v>-26742.57999999998</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5.05">
      <c r="A54" s="137">
        <f>A52+1</f>
        <v>2048</v>
      </c>
      <c r="B54" s="1063">
        <f>B52+1</f>
        <v>90</v>
      </c>
      <c r="C54" s="1064">
        <f>C52+1</f>
        <v>88</v>
      </c>
      <c r="D54" s="1090">
        <v>33768</v>
      </c>
      <c r="E54" s="1025">
        <v>0</v>
      </c>
      <c r="F54" s="719">
        <v>2542.37</v>
      </c>
      <c r="G54" s="982">
        <v>0</v>
      </c>
      <c r="H54" s="982">
        <v>5389</v>
      </c>
      <c r="I54" s="1025">
        <v>0</v>
      </c>
      <c r="J54" s="1026">
        <v>12758</v>
      </c>
      <c r="K54" s="1026">
        <v>4800</v>
      </c>
      <c r="L54" s="1025">
        <v>0</v>
      </c>
      <c r="M54" s="980">
        <f t="shared" si="4"/>
        <v>59257.37</v>
      </c>
      <c r="N54" s="967">
        <f>I10</f>
        <v>87499.949999999983</v>
      </c>
      <c r="O54" s="1157">
        <f>M54-N55</f>
        <v>-28242.57999999998</v>
      </c>
    </row>
    <row r="55" spans="1:16" ht="11.45" customHeight="1">
      <c r="A55" s="137">
        <f t="shared" ref="A55:C57" si="5">A54+1</f>
        <v>2049</v>
      </c>
      <c r="B55" s="1054">
        <f t="shared" si="5"/>
        <v>91</v>
      </c>
      <c r="C55" s="1059">
        <f t="shared" si="5"/>
        <v>89</v>
      </c>
      <c r="D55" s="1090">
        <v>33768</v>
      </c>
      <c r="E55" s="1025">
        <v>0</v>
      </c>
      <c r="F55" s="719">
        <v>2542.37</v>
      </c>
      <c r="G55" s="982">
        <v>0</v>
      </c>
      <c r="H55" s="982">
        <v>5389</v>
      </c>
      <c r="I55" s="1025">
        <v>0</v>
      </c>
      <c r="J55" s="1026">
        <v>12758</v>
      </c>
      <c r="K55" s="1026">
        <v>4800</v>
      </c>
      <c r="L55" s="1025">
        <v>0</v>
      </c>
      <c r="M55" s="980">
        <f t="shared" si="4"/>
        <v>59257.37</v>
      </c>
      <c r="N55" s="967">
        <f>I10</f>
        <v>87499.949999999983</v>
      </c>
      <c r="O55" s="977">
        <f>M55-N55</f>
        <v>-28242.57999999998</v>
      </c>
    </row>
    <row r="56" spans="1:16" ht="11.45" customHeight="1">
      <c r="A56" s="137">
        <f t="shared" si="5"/>
        <v>2050</v>
      </c>
      <c r="B56" s="1054">
        <f t="shared" si="5"/>
        <v>92</v>
      </c>
      <c r="C56" s="1059">
        <f t="shared" si="5"/>
        <v>90</v>
      </c>
      <c r="D56" s="1090">
        <v>33768</v>
      </c>
      <c r="E56" s="1025">
        <v>0</v>
      </c>
      <c r="F56" s="719">
        <v>2542.37</v>
      </c>
      <c r="G56" s="982">
        <v>0</v>
      </c>
      <c r="H56" s="982">
        <v>5389</v>
      </c>
      <c r="I56" s="1025">
        <v>0</v>
      </c>
      <c r="J56" s="1026">
        <v>12758</v>
      </c>
      <c r="K56" s="1026">
        <v>4800</v>
      </c>
      <c r="L56" s="1025">
        <v>0</v>
      </c>
      <c r="M56" s="980">
        <f t="shared" si="4"/>
        <v>59257.37</v>
      </c>
      <c r="N56" s="967">
        <f>I10</f>
        <v>87499.949999999983</v>
      </c>
      <c r="O56" s="977">
        <f t="shared" ref="O56:O57" si="6">M56-N56</f>
        <v>-28242.57999999998</v>
      </c>
    </row>
    <row r="57" spans="1:16" ht="11.45" customHeight="1">
      <c r="A57" s="137">
        <f t="shared" si="5"/>
        <v>2051</v>
      </c>
      <c r="B57" s="1054">
        <f t="shared" si="5"/>
        <v>93</v>
      </c>
      <c r="C57" s="1059">
        <f t="shared" si="5"/>
        <v>91</v>
      </c>
      <c r="D57" s="1090">
        <v>33768</v>
      </c>
      <c r="E57" s="1025">
        <v>0</v>
      </c>
      <c r="F57" s="719">
        <v>2542.37</v>
      </c>
      <c r="G57" s="982">
        <v>0</v>
      </c>
      <c r="H57" s="982">
        <v>5389</v>
      </c>
      <c r="I57" s="1025">
        <v>0</v>
      </c>
      <c r="J57" s="1026">
        <v>12758</v>
      </c>
      <c r="K57" s="1026">
        <v>4800</v>
      </c>
      <c r="L57" s="1025">
        <v>0</v>
      </c>
      <c r="M57" s="980">
        <f t="shared" si="4"/>
        <v>59257.37</v>
      </c>
      <c r="N57" s="967">
        <f>I10</f>
        <v>87499.949999999983</v>
      </c>
      <c r="O57" s="977">
        <f t="shared" si="6"/>
        <v>-28242.57999999998</v>
      </c>
    </row>
    <row r="58" spans="1:16" ht="12.45">
      <c r="A58" s="1895"/>
      <c r="B58" s="1895"/>
      <c r="C58" s="1895"/>
      <c r="D58" s="1895"/>
      <c r="E58" s="1895"/>
      <c r="F58" s="1895"/>
      <c r="G58" s="1895"/>
      <c r="H58" s="1895"/>
      <c r="I58" s="1895"/>
      <c r="J58" s="1895"/>
      <c r="K58" s="1895"/>
      <c r="L58" s="1895"/>
      <c r="M58" s="1895"/>
      <c r="N58" s="1895"/>
      <c r="O58" s="1896"/>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1.375" style="89" customWidth="1"/>
    <col min="5" max="5" width="15.875" style="71" customWidth="1"/>
    <col min="6" max="8" width="17"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63" t="s">
        <v>137</v>
      </c>
      <c r="B1" s="1564"/>
      <c r="C1" s="1564"/>
      <c r="D1" s="1565"/>
      <c r="E1" s="1018" t="s">
        <v>42</v>
      </c>
      <c r="F1" s="1566" t="s">
        <v>567</v>
      </c>
      <c r="G1" s="1567"/>
      <c r="H1" s="1567"/>
      <c r="I1" s="1018" t="s">
        <v>44</v>
      </c>
      <c r="J1" s="1569" t="s">
        <v>568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8">
        <v>65</v>
      </c>
      <c r="G3" s="1008">
        <v>65</v>
      </c>
      <c r="H3" s="1008"/>
      <c r="I3" s="1008">
        <v>66</v>
      </c>
      <c r="J3" s="1016">
        <f>I3-G3</f>
        <v>1</v>
      </c>
      <c r="K3" s="1033" t="s">
        <v>47</v>
      </c>
      <c r="L3" s="192"/>
      <c r="Q3" s="89"/>
    </row>
    <row r="4" spans="1:17" ht="15.05">
      <c r="C4" s="988">
        <f ca="1">TODAY()</f>
        <v>46198</v>
      </c>
      <c r="E4" s="1065" t="s">
        <v>374</v>
      </c>
      <c r="F4" s="1008">
        <v>65</v>
      </c>
      <c r="G4" s="1008">
        <v>65</v>
      </c>
      <c r="H4" s="1008"/>
      <c r="I4" s="1008">
        <v>66</v>
      </c>
      <c r="J4" s="971">
        <f>I4-G4</f>
        <v>1</v>
      </c>
      <c r="K4" s="1065" t="s">
        <v>47</v>
      </c>
    </row>
    <row r="5" spans="1:17" s="89" customFormat="1" ht="20.3">
      <c r="B5" s="208"/>
      <c r="C5" s="970">
        <v>2020</v>
      </c>
      <c r="D5" s="192"/>
      <c r="E5" s="925"/>
      <c r="F5" s="192"/>
      <c r="G5" s="192"/>
      <c r="H5" s="192"/>
      <c r="I5" s="969"/>
      <c r="J5" s="192"/>
      <c r="K5" s="192"/>
      <c r="L5" s="969"/>
      <c r="M5" s="371"/>
      <c r="N5" s="192"/>
    </row>
    <row r="6" spans="1:17" s="89" customFormat="1" ht="17.7">
      <c r="A6" s="1788" t="s">
        <v>375</v>
      </c>
      <c r="B6" s="1789"/>
      <c r="C6" s="1790"/>
      <c r="D6" s="1009">
        <v>9166.67</v>
      </c>
      <c r="E6" s="1791" t="s">
        <v>376</v>
      </c>
      <c r="F6" s="1741"/>
      <c r="G6" s="968" t="s">
        <v>377</v>
      </c>
      <c r="H6" s="968"/>
      <c r="J6" s="968" t="s">
        <v>377</v>
      </c>
      <c r="K6" s="974"/>
      <c r="N6" s="16"/>
      <c r="O6" s="16"/>
    </row>
    <row r="7" spans="1:17" s="89" customFormat="1" ht="17.7">
      <c r="A7" s="1854" t="s">
        <v>378</v>
      </c>
      <c r="B7" s="1855"/>
      <c r="C7" s="1856"/>
      <c r="D7" s="1009">
        <v>0</v>
      </c>
      <c r="E7" s="1857" t="s">
        <v>379</v>
      </c>
      <c r="F7" s="1858"/>
      <c r="G7" s="968" t="s">
        <v>519</v>
      </c>
      <c r="H7" s="968"/>
      <c r="I7" s="1015">
        <f>D6+D7</f>
        <v>9166.67</v>
      </c>
      <c r="J7" s="968" t="s">
        <v>380</v>
      </c>
      <c r="K7" s="972">
        <f>D6+D7</f>
        <v>9166.67</v>
      </c>
      <c r="O7" s="16"/>
    </row>
    <row r="10" spans="1:17" ht="17.7">
      <c r="A10" s="1524" t="s">
        <v>50</v>
      </c>
      <c r="B10" s="1524"/>
      <c r="C10" s="1524"/>
      <c r="D10" s="1524"/>
      <c r="E10" s="1010">
        <v>5500</v>
      </c>
      <c r="F10" s="966">
        <f>E10*12</f>
        <v>66000</v>
      </c>
      <c r="G10" s="192"/>
      <c r="H10" s="192"/>
      <c r="I10" s="973">
        <f>F10*1.25</f>
        <v>82500</v>
      </c>
      <c r="J10" s="1734" t="s">
        <v>52</v>
      </c>
      <c r="K10" s="1734"/>
      <c r="L10" s="1734"/>
      <c r="M10" s="1734"/>
      <c r="N10" s="1734"/>
      <c r="O10" s="16"/>
    </row>
    <row r="11" spans="1:17" s="89" customFormat="1" ht="20.3">
      <c r="B11" s="208"/>
      <c r="C11" s="970"/>
      <c r="D11" s="192"/>
      <c r="E11" s="925"/>
      <c r="F11" s="192"/>
      <c r="G11" s="192"/>
      <c r="H11" s="192"/>
      <c r="I11" s="969"/>
      <c r="J11" s="192"/>
      <c r="K11" s="192"/>
      <c r="L11" s="969"/>
      <c r="M11" s="371"/>
      <c r="N11" s="192"/>
    </row>
    <row r="12" spans="1:17" ht="18" customHeight="1">
      <c r="A12" s="1742" t="s">
        <v>383</v>
      </c>
      <c r="B12" s="1743"/>
      <c r="C12" s="1744"/>
      <c r="D12" s="1010">
        <v>2814</v>
      </c>
      <c r="E12" s="1013" t="s">
        <v>12</v>
      </c>
      <c r="F12" s="1011">
        <v>66</v>
      </c>
      <c r="G12" s="1745" t="s">
        <v>54</v>
      </c>
      <c r="H12" s="1941"/>
      <c r="I12" s="1021">
        <f>D12*12</f>
        <v>33768</v>
      </c>
      <c r="J12" s="1553" t="s">
        <v>55</v>
      </c>
      <c r="K12" s="1553"/>
      <c r="L12" s="1553"/>
      <c r="M12" s="1553"/>
      <c r="N12" s="1553"/>
      <c r="O12" s="1553"/>
    </row>
    <row r="13" spans="1:17" ht="17.7">
      <c r="A13" s="1866" t="s">
        <v>521</v>
      </c>
      <c r="B13" s="1867"/>
      <c r="C13" s="1868"/>
      <c r="D13" s="1010">
        <v>1199</v>
      </c>
      <c r="E13" s="1066" t="s">
        <v>12</v>
      </c>
      <c r="F13" s="1011">
        <v>66</v>
      </c>
      <c r="G13" s="1869" t="s">
        <v>54</v>
      </c>
      <c r="H13" s="1942"/>
      <c r="I13" s="973">
        <f>D13*12</f>
        <v>14388</v>
      </c>
      <c r="J13" s="1552"/>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897" t="s">
        <v>569</v>
      </c>
      <c r="B15" s="1897"/>
      <c r="C15" s="1897"/>
      <c r="D15" s="1897"/>
      <c r="E15" s="1897"/>
      <c r="F15" s="1897"/>
      <c r="G15" s="1897"/>
      <c r="H15" s="1897"/>
      <c r="I15" s="1897"/>
      <c r="J15" s="1897"/>
      <c r="K15" s="1897"/>
      <c r="L15" s="1897"/>
      <c r="M15" s="1897"/>
      <c r="N15" s="1897"/>
      <c r="O15" s="1898"/>
    </row>
    <row r="16" spans="1:17"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110"/>
      <c r="B17" s="1110"/>
      <c r="C17" s="1110"/>
      <c r="D17" s="1027" t="s">
        <v>413</v>
      </c>
      <c r="E17" s="1046" t="s">
        <v>524</v>
      </c>
      <c r="F17" s="881" t="s">
        <v>561</v>
      </c>
      <c r="G17" s="592" t="s">
        <v>570</v>
      </c>
      <c r="H17" s="592" t="s">
        <v>571</v>
      </c>
      <c r="I17" s="1046" t="s">
        <v>563</v>
      </c>
      <c r="J17" s="374" t="s">
        <v>564</v>
      </c>
      <c r="K17" s="374" t="s">
        <v>565</v>
      </c>
      <c r="L17" s="1046" t="s">
        <v>566</v>
      </c>
      <c r="M17" s="1067" t="s">
        <v>65</v>
      </c>
      <c r="N17" s="1014" t="s">
        <v>66</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c r="I18" s="215">
        <v>0</v>
      </c>
      <c r="J18" s="215">
        <v>0</v>
      </c>
      <c r="K18" s="215"/>
      <c r="L18" s="215">
        <v>0</v>
      </c>
      <c r="M18" s="44">
        <f ca="1">SUM(D18:N18)</f>
        <v>0</v>
      </c>
      <c r="N18" s="215">
        <v>0</v>
      </c>
      <c r="O18" s="215">
        <v>0</v>
      </c>
    </row>
    <row r="19" spans="1:23">
      <c r="A19" s="1540"/>
      <c r="B19" s="1540"/>
      <c r="C19" s="1540"/>
      <c r="D19" s="1005"/>
      <c r="E19" s="1006"/>
      <c r="F19" s="1093">
        <v>1</v>
      </c>
      <c r="G19" s="1154">
        <v>1</v>
      </c>
      <c r="H19" s="1154">
        <v>1</v>
      </c>
      <c r="I19" s="1098">
        <v>0.75</v>
      </c>
      <c r="J19" s="1101">
        <v>1</v>
      </c>
      <c r="K19" s="1101">
        <v>1</v>
      </c>
      <c r="L19" s="1098">
        <v>0</v>
      </c>
      <c r="M19" s="992"/>
      <c r="N19" s="992"/>
      <c r="O19" s="993"/>
    </row>
    <row r="20" spans="1:23">
      <c r="A20" s="1860"/>
      <c r="B20" s="1860"/>
      <c r="C20" s="1861"/>
      <c r="D20" s="976">
        <f>F12</f>
        <v>66</v>
      </c>
      <c r="E20" s="976">
        <f>F13</f>
        <v>66</v>
      </c>
      <c r="F20" s="1095">
        <v>66</v>
      </c>
      <c r="G20" s="1155">
        <v>67</v>
      </c>
      <c r="H20" s="1156">
        <v>68</v>
      </c>
      <c r="I20" s="1099">
        <v>65</v>
      </c>
      <c r="J20" s="1102">
        <v>66</v>
      </c>
      <c r="K20" s="1102">
        <v>0</v>
      </c>
      <c r="L20" s="1099">
        <v>0</v>
      </c>
      <c r="M20" s="990"/>
      <c r="N20" s="989"/>
      <c r="O20" s="994"/>
    </row>
    <row r="21" spans="1:23" ht="16.05" customHeight="1">
      <c r="A21" s="1749" t="s">
        <v>26</v>
      </c>
      <c r="B21" s="1813" t="s">
        <v>390</v>
      </c>
      <c r="C21" s="1862" t="s">
        <v>58</v>
      </c>
      <c r="D21" s="975">
        <f>I12</f>
        <v>33768</v>
      </c>
      <c r="E21" s="975">
        <f>I13</f>
        <v>14388</v>
      </c>
      <c r="F21" s="1096">
        <v>69120</v>
      </c>
      <c r="G21" s="975">
        <v>54000</v>
      </c>
      <c r="H21" s="975">
        <v>55900</v>
      </c>
      <c r="I21" s="1100">
        <v>2076</v>
      </c>
      <c r="J21" s="1103">
        <v>12756</v>
      </c>
      <c r="K21" s="1103">
        <v>4800</v>
      </c>
      <c r="L21" s="1100">
        <v>0</v>
      </c>
      <c r="M21" s="990"/>
      <c r="N21" s="989"/>
      <c r="O21" s="994"/>
    </row>
    <row r="22" spans="1:23" ht="16.05" customHeight="1">
      <c r="A22" s="1750"/>
      <c r="B22" s="1814"/>
      <c r="C22" s="1863"/>
      <c r="D22" s="1895"/>
      <c r="E22" s="1895"/>
      <c r="F22" s="1895"/>
      <c r="G22" s="1895"/>
      <c r="H22" s="1895"/>
      <c r="I22" s="1895"/>
      <c r="J22" s="1895"/>
      <c r="K22" s="1895"/>
      <c r="L22" s="1896"/>
      <c r="M22" s="991"/>
      <c r="N22" s="208"/>
      <c r="O22" s="995"/>
    </row>
    <row r="23" spans="1:23" ht="14.4">
      <c r="A23" s="979" t="s">
        <v>68</v>
      </c>
      <c r="B23" s="1051">
        <f>G3</f>
        <v>65</v>
      </c>
      <c r="C23" s="1057">
        <f>G4</f>
        <v>65</v>
      </c>
      <c r="D23" s="982">
        <v>0</v>
      </c>
      <c r="E23" s="982">
        <v>0</v>
      </c>
      <c r="F23" s="982">
        <v>0</v>
      </c>
      <c r="G23" s="982">
        <v>0</v>
      </c>
      <c r="H23" s="982">
        <v>0</v>
      </c>
      <c r="I23" s="1025">
        <v>2076</v>
      </c>
      <c r="J23" s="982">
        <v>0</v>
      </c>
      <c r="K23" s="982">
        <v>0</v>
      </c>
      <c r="L23" s="982">
        <v>0</v>
      </c>
      <c r="M23" s="980">
        <f>D23+E23+F23+G23+H23+I23+J23+K23+L23</f>
        <v>2076</v>
      </c>
      <c r="N23" s="967">
        <f>I10</f>
        <v>82500</v>
      </c>
      <c r="O23" s="977">
        <f>M23-N24</f>
        <v>-80424</v>
      </c>
    </row>
    <row r="24" spans="1:23" ht="14.4">
      <c r="A24" s="119">
        <f t="shared" ref="A24:C39" si="0">A23+1</f>
        <v>2021</v>
      </c>
      <c r="B24" s="1052">
        <f t="shared" si="0"/>
        <v>66</v>
      </c>
      <c r="C24" s="1058">
        <f t="shared" si="0"/>
        <v>66</v>
      </c>
      <c r="D24" s="1026">
        <v>33768</v>
      </c>
      <c r="E24" s="1025">
        <v>14388</v>
      </c>
      <c r="F24" s="719">
        <v>2542.37</v>
      </c>
      <c r="G24" s="982">
        <v>0</v>
      </c>
      <c r="H24" s="982">
        <v>0</v>
      </c>
      <c r="I24" s="1025">
        <v>2076</v>
      </c>
      <c r="J24" s="1026">
        <v>12756</v>
      </c>
      <c r="K24" s="1026">
        <v>4800</v>
      </c>
      <c r="L24" s="1025">
        <v>1500</v>
      </c>
      <c r="M24" s="980">
        <f t="shared" ref="M24:M44" si="1">D24+E24+F24+G24+H24+I24+J24+K24+L24</f>
        <v>71830.37</v>
      </c>
      <c r="N24" s="967">
        <f>I10</f>
        <v>82500</v>
      </c>
      <c r="O24" s="977">
        <f t="shared" ref="O24:O51" si="2">M24-N25</f>
        <v>-10669.630000000005</v>
      </c>
    </row>
    <row r="25" spans="1:23" ht="14.4">
      <c r="A25" s="155">
        <f t="shared" si="0"/>
        <v>2022</v>
      </c>
      <c r="B25" s="1053">
        <f t="shared" si="0"/>
        <v>67</v>
      </c>
      <c r="C25" s="1057">
        <f t="shared" si="0"/>
        <v>67</v>
      </c>
      <c r="D25" s="1026">
        <v>33768</v>
      </c>
      <c r="E25" s="1025">
        <v>14388</v>
      </c>
      <c r="F25" s="719">
        <v>2542.37</v>
      </c>
      <c r="G25" s="982">
        <v>2747.42</v>
      </c>
      <c r="H25" s="982">
        <v>0</v>
      </c>
      <c r="I25" s="1025">
        <v>2076</v>
      </c>
      <c r="J25" s="1026">
        <v>12756</v>
      </c>
      <c r="K25" s="1026">
        <v>4800</v>
      </c>
      <c r="L25" s="1025">
        <v>1500</v>
      </c>
      <c r="M25" s="980">
        <f t="shared" si="1"/>
        <v>74577.790000000008</v>
      </c>
      <c r="N25" s="967">
        <f>I10</f>
        <v>82500</v>
      </c>
      <c r="O25" s="977">
        <f t="shared" si="2"/>
        <v>-7922.2099999999919</v>
      </c>
    </row>
    <row r="26" spans="1:23" ht="14.4">
      <c r="A26" s="119">
        <f t="shared" si="0"/>
        <v>2023</v>
      </c>
      <c r="B26" s="1054">
        <f t="shared" si="0"/>
        <v>68</v>
      </c>
      <c r="C26" s="1059">
        <f t="shared" si="0"/>
        <v>68</v>
      </c>
      <c r="D26" s="1026">
        <v>33768</v>
      </c>
      <c r="E26" s="1025">
        <v>14388</v>
      </c>
      <c r="F26" s="719">
        <v>2542.37</v>
      </c>
      <c r="G26" s="982">
        <v>2747.42</v>
      </c>
      <c r="H26" s="982">
        <v>2507</v>
      </c>
      <c r="I26" s="1025">
        <v>2076</v>
      </c>
      <c r="J26" s="1026">
        <v>12756</v>
      </c>
      <c r="K26" s="1026">
        <v>4800</v>
      </c>
      <c r="L26" s="1025">
        <v>1500</v>
      </c>
      <c r="M26" s="980">
        <f t="shared" si="1"/>
        <v>77084.790000000008</v>
      </c>
      <c r="N26" s="967">
        <f>I10</f>
        <v>82500</v>
      </c>
      <c r="O26" s="977">
        <f t="shared" si="2"/>
        <v>-5415.2099999999919</v>
      </c>
    </row>
    <row r="27" spans="1:23" ht="14.4">
      <c r="A27" s="119">
        <f t="shared" si="0"/>
        <v>2024</v>
      </c>
      <c r="B27" s="1053">
        <f t="shared" si="0"/>
        <v>69</v>
      </c>
      <c r="C27" s="1057">
        <f t="shared" si="0"/>
        <v>69</v>
      </c>
      <c r="D27" s="1026">
        <v>33768</v>
      </c>
      <c r="E27" s="1025">
        <v>14388</v>
      </c>
      <c r="F27" s="719">
        <v>2542.37</v>
      </c>
      <c r="G27" s="982">
        <v>2747.42</v>
      </c>
      <c r="H27" s="982">
        <v>2507</v>
      </c>
      <c r="I27" s="1025">
        <v>2076</v>
      </c>
      <c r="J27" s="1026">
        <v>12756</v>
      </c>
      <c r="K27" s="1026">
        <v>4800</v>
      </c>
      <c r="L27" s="1025">
        <v>1500</v>
      </c>
      <c r="M27" s="980">
        <f t="shared" si="1"/>
        <v>77084.790000000008</v>
      </c>
      <c r="N27" s="967">
        <f>I10</f>
        <v>82500</v>
      </c>
      <c r="O27" s="977">
        <f t="shared" si="2"/>
        <v>-5415.2099999999919</v>
      </c>
    </row>
    <row r="28" spans="1:23" ht="14.4">
      <c r="A28" s="119">
        <f t="shared" si="0"/>
        <v>2025</v>
      </c>
      <c r="B28" s="1052">
        <f t="shared" si="0"/>
        <v>70</v>
      </c>
      <c r="C28" s="1060">
        <f t="shared" si="0"/>
        <v>70</v>
      </c>
      <c r="D28" s="1026">
        <v>33768</v>
      </c>
      <c r="E28" s="1025">
        <v>14388</v>
      </c>
      <c r="F28" s="719">
        <v>2542.37</v>
      </c>
      <c r="G28" s="982">
        <v>2747.42</v>
      </c>
      <c r="H28" s="982">
        <v>2507</v>
      </c>
      <c r="I28" s="1025">
        <v>2076</v>
      </c>
      <c r="J28" s="1026">
        <v>12756</v>
      </c>
      <c r="K28" s="1026">
        <v>4800</v>
      </c>
      <c r="L28" s="1025">
        <v>1500</v>
      </c>
      <c r="M28" s="980">
        <f t="shared" si="1"/>
        <v>77084.790000000008</v>
      </c>
      <c r="N28" s="967">
        <f>I10</f>
        <v>82500</v>
      </c>
      <c r="O28" s="977">
        <f t="shared" si="2"/>
        <v>-5415.2099999999919</v>
      </c>
    </row>
    <row r="29" spans="1:23" ht="14.4">
      <c r="A29" s="155">
        <f t="shared" si="0"/>
        <v>2026</v>
      </c>
      <c r="B29" s="1053">
        <f t="shared" si="0"/>
        <v>71</v>
      </c>
      <c r="C29" s="1057">
        <f t="shared" si="0"/>
        <v>71</v>
      </c>
      <c r="D29" s="1026">
        <v>33768</v>
      </c>
      <c r="E29" s="1025">
        <v>14388</v>
      </c>
      <c r="F29" s="719">
        <v>2542.37</v>
      </c>
      <c r="G29" s="982">
        <v>2747.42</v>
      </c>
      <c r="H29" s="982">
        <v>2507</v>
      </c>
      <c r="I29" s="1025">
        <v>2076</v>
      </c>
      <c r="J29" s="1026">
        <v>12756</v>
      </c>
      <c r="K29" s="1026">
        <v>4800</v>
      </c>
      <c r="L29" s="1025">
        <v>1500</v>
      </c>
      <c r="M29" s="980">
        <f t="shared" si="1"/>
        <v>77084.790000000008</v>
      </c>
      <c r="N29" s="967">
        <f>I10</f>
        <v>82500</v>
      </c>
      <c r="O29" s="977">
        <f t="shared" si="2"/>
        <v>-5415.2099999999919</v>
      </c>
    </row>
    <row r="30" spans="1:23" ht="14.4">
      <c r="A30" s="119">
        <f t="shared" si="0"/>
        <v>2027</v>
      </c>
      <c r="B30" s="1054">
        <f t="shared" si="0"/>
        <v>72</v>
      </c>
      <c r="C30" s="1059">
        <f t="shared" si="0"/>
        <v>72</v>
      </c>
      <c r="D30" s="1026">
        <v>33768</v>
      </c>
      <c r="E30" s="1025">
        <v>14388</v>
      </c>
      <c r="F30" s="719">
        <v>2542.37</v>
      </c>
      <c r="G30" s="982">
        <v>2747.42</v>
      </c>
      <c r="H30" s="982">
        <v>2507</v>
      </c>
      <c r="I30" s="1025">
        <v>2076</v>
      </c>
      <c r="J30" s="1026">
        <v>12756</v>
      </c>
      <c r="K30" s="1026">
        <v>4800</v>
      </c>
      <c r="L30" s="1025">
        <v>1500</v>
      </c>
      <c r="M30" s="980">
        <f t="shared" si="1"/>
        <v>77084.790000000008</v>
      </c>
      <c r="N30" s="967">
        <f>I10</f>
        <v>82500</v>
      </c>
      <c r="O30" s="977">
        <f t="shared" si="2"/>
        <v>-5415.2099999999919</v>
      </c>
    </row>
    <row r="31" spans="1:23" ht="14.4">
      <c r="A31" s="119">
        <f t="shared" si="0"/>
        <v>2028</v>
      </c>
      <c r="B31" s="1053">
        <f t="shared" si="0"/>
        <v>73</v>
      </c>
      <c r="C31" s="1057">
        <f t="shared" si="0"/>
        <v>73</v>
      </c>
      <c r="D31" s="1026">
        <v>33768</v>
      </c>
      <c r="E31" s="1025">
        <v>14388</v>
      </c>
      <c r="F31" s="719">
        <v>2542.37</v>
      </c>
      <c r="G31" s="982">
        <v>2747.42</v>
      </c>
      <c r="H31" s="982">
        <v>2507</v>
      </c>
      <c r="I31" s="1025">
        <v>2076</v>
      </c>
      <c r="J31" s="1026">
        <v>12756</v>
      </c>
      <c r="K31" s="1026">
        <v>4800</v>
      </c>
      <c r="L31" s="1025">
        <v>1500</v>
      </c>
      <c r="M31" s="980">
        <f t="shared" si="1"/>
        <v>77084.790000000008</v>
      </c>
      <c r="N31" s="967">
        <f>I10</f>
        <v>82500</v>
      </c>
      <c r="O31" s="977">
        <f t="shared" si="2"/>
        <v>-5415.2099999999919</v>
      </c>
    </row>
    <row r="32" spans="1:23" ht="14.4">
      <c r="A32" s="119">
        <f t="shared" si="0"/>
        <v>2029</v>
      </c>
      <c r="B32" s="1053">
        <f t="shared" si="0"/>
        <v>74</v>
      </c>
      <c r="C32" s="1057">
        <f t="shared" si="0"/>
        <v>74</v>
      </c>
      <c r="D32" s="1026">
        <v>33768</v>
      </c>
      <c r="E32" s="1025">
        <v>14388</v>
      </c>
      <c r="F32" s="719">
        <v>2542.37</v>
      </c>
      <c r="G32" s="982">
        <v>2747.42</v>
      </c>
      <c r="H32" s="982">
        <v>2507</v>
      </c>
      <c r="I32" s="1025">
        <v>2076</v>
      </c>
      <c r="J32" s="1026">
        <v>12756</v>
      </c>
      <c r="K32" s="1026">
        <v>4800</v>
      </c>
      <c r="L32" s="1025">
        <v>1500</v>
      </c>
      <c r="M32" s="980">
        <f t="shared" si="1"/>
        <v>77084.790000000008</v>
      </c>
      <c r="N32" s="967">
        <f>I10</f>
        <v>82500</v>
      </c>
      <c r="O32" s="977">
        <f t="shared" si="2"/>
        <v>-5415.2099999999919</v>
      </c>
    </row>
    <row r="33" spans="1:15" ht="14.4">
      <c r="A33" s="119">
        <f t="shared" si="0"/>
        <v>2030</v>
      </c>
      <c r="B33" s="1053">
        <f t="shared" si="0"/>
        <v>75</v>
      </c>
      <c r="C33" s="1057">
        <f t="shared" si="0"/>
        <v>75</v>
      </c>
      <c r="D33" s="1026">
        <v>33768</v>
      </c>
      <c r="E33" s="1025">
        <v>14388</v>
      </c>
      <c r="F33" s="719">
        <v>2542.37</v>
      </c>
      <c r="G33" s="982">
        <v>2747.42</v>
      </c>
      <c r="H33" s="982">
        <v>2507</v>
      </c>
      <c r="I33" s="1025">
        <v>2076</v>
      </c>
      <c r="J33" s="1026">
        <v>12756</v>
      </c>
      <c r="K33" s="1026">
        <v>4800</v>
      </c>
      <c r="L33" s="1025">
        <v>1500</v>
      </c>
      <c r="M33" s="980">
        <f t="shared" si="1"/>
        <v>77084.790000000008</v>
      </c>
      <c r="N33" s="967">
        <f>I10</f>
        <v>82500</v>
      </c>
      <c r="O33" s="977">
        <f t="shared" si="2"/>
        <v>-5415.2099999999919</v>
      </c>
    </row>
    <row r="34" spans="1:15" ht="14.4">
      <c r="A34" s="119">
        <f t="shared" si="0"/>
        <v>2031</v>
      </c>
      <c r="B34" s="1053">
        <f t="shared" si="0"/>
        <v>76</v>
      </c>
      <c r="C34" s="1057">
        <f t="shared" si="0"/>
        <v>76</v>
      </c>
      <c r="D34" s="1026">
        <v>33768</v>
      </c>
      <c r="E34" s="1025">
        <v>14388</v>
      </c>
      <c r="F34" s="719">
        <v>2542.37</v>
      </c>
      <c r="G34" s="982">
        <v>2747.42</v>
      </c>
      <c r="H34" s="982">
        <v>2507</v>
      </c>
      <c r="I34" s="982">
        <v>0</v>
      </c>
      <c r="J34" s="1026">
        <v>12756</v>
      </c>
      <c r="K34" s="1026">
        <v>4800</v>
      </c>
      <c r="L34" s="1025">
        <v>1500</v>
      </c>
      <c r="M34" s="980">
        <f t="shared" si="1"/>
        <v>75008.790000000008</v>
      </c>
      <c r="N34" s="967">
        <f>I10</f>
        <v>82500</v>
      </c>
      <c r="O34" s="977">
        <f t="shared" si="2"/>
        <v>-7491.2099999999919</v>
      </c>
    </row>
    <row r="35" spans="1:15" ht="14.4">
      <c r="A35" s="119">
        <f t="shared" si="0"/>
        <v>2032</v>
      </c>
      <c r="B35" s="1053">
        <f t="shared" si="0"/>
        <v>77</v>
      </c>
      <c r="C35" s="1057">
        <f t="shared" si="0"/>
        <v>77</v>
      </c>
      <c r="D35" s="1026">
        <v>33768</v>
      </c>
      <c r="E35" s="1025">
        <v>14388</v>
      </c>
      <c r="F35" s="719">
        <v>2542.37</v>
      </c>
      <c r="G35" s="982">
        <v>2747.42</v>
      </c>
      <c r="H35" s="982">
        <v>2507</v>
      </c>
      <c r="I35" s="982">
        <v>0</v>
      </c>
      <c r="J35" s="1026">
        <v>12756</v>
      </c>
      <c r="K35" s="1026">
        <v>4800</v>
      </c>
      <c r="L35" s="1025">
        <v>1500</v>
      </c>
      <c r="M35" s="980">
        <f t="shared" si="1"/>
        <v>75008.790000000008</v>
      </c>
      <c r="N35" s="967">
        <f>I10</f>
        <v>82500</v>
      </c>
      <c r="O35" s="977">
        <f t="shared" si="2"/>
        <v>-7491.2099999999919</v>
      </c>
    </row>
    <row r="36" spans="1:15" ht="14.4">
      <c r="A36" s="119">
        <f t="shared" si="0"/>
        <v>2033</v>
      </c>
      <c r="B36" s="1053">
        <f t="shared" si="0"/>
        <v>78</v>
      </c>
      <c r="C36" s="1057">
        <f t="shared" si="0"/>
        <v>78</v>
      </c>
      <c r="D36" s="1026">
        <v>33768</v>
      </c>
      <c r="E36" s="1025">
        <v>14388</v>
      </c>
      <c r="F36" s="719">
        <v>2542.37</v>
      </c>
      <c r="G36" s="982">
        <v>2747.42</v>
      </c>
      <c r="H36" s="982">
        <v>2507</v>
      </c>
      <c r="I36" s="982">
        <v>0</v>
      </c>
      <c r="J36" s="1026">
        <v>12756</v>
      </c>
      <c r="K36" s="1026">
        <v>4800</v>
      </c>
      <c r="L36" s="1025">
        <v>1500</v>
      </c>
      <c r="M36" s="980">
        <f t="shared" si="1"/>
        <v>75008.790000000008</v>
      </c>
      <c r="N36" s="967">
        <f>I10</f>
        <v>82500</v>
      </c>
      <c r="O36" s="977">
        <f t="shared" si="2"/>
        <v>-7491.2099999999919</v>
      </c>
    </row>
    <row r="37" spans="1:15" ht="14.4">
      <c r="A37" s="119">
        <f t="shared" si="0"/>
        <v>2034</v>
      </c>
      <c r="B37" s="1053">
        <f t="shared" si="0"/>
        <v>79</v>
      </c>
      <c r="C37" s="1057">
        <f t="shared" si="0"/>
        <v>79</v>
      </c>
      <c r="D37" s="1026">
        <v>33768</v>
      </c>
      <c r="E37" s="1025">
        <v>14388</v>
      </c>
      <c r="F37" s="719">
        <v>2542.37</v>
      </c>
      <c r="G37" s="982">
        <v>2747.42</v>
      </c>
      <c r="H37" s="982">
        <v>2507</v>
      </c>
      <c r="I37" s="982">
        <v>0</v>
      </c>
      <c r="J37" s="1026">
        <v>12756</v>
      </c>
      <c r="K37" s="1026">
        <v>4800</v>
      </c>
      <c r="L37" s="1025">
        <v>1500</v>
      </c>
      <c r="M37" s="980">
        <f t="shared" si="1"/>
        <v>75008.790000000008</v>
      </c>
      <c r="N37" s="967">
        <f>I10</f>
        <v>82500</v>
      </c>
      <c r="O37" s="977">
        <f t="shared" si="2"/>
        <v>-7491.2099999999919</v>
      </c>
    </row>
    <row r="38" spans="1:15" ht="14.4">
      <c r="A38" s="155">
        <f t="shared" si="0"/>
        <v>2035</v>
      </c>
      <c r="B38" s="1053">
        <f t="shared" si="0"/>
        <v>80</v>
      </c>
      <c r="C38" s="1061">
        <f t="shared" si="0"/>
        <v>80</v>
      </c>
      <c r="D38" s="1026">
        <v>33768</v>
      </c>
      <c r="E38" s="1025">
        <v>14388</v>
      </c>
      <c r="F38" s="719">
        <v>2542.37</v>
      </c>
      <c r="G38" s="982">
        <v>2747.42</v>
      </c>
      <c r="H38" s="982">
        <v>2507</v>
      </c>
      <c r="I38" s="982">
        <v>0</v>
      </c>
      <c r="J38" s="1026">
        <v>12756</v>
      </c>
      <c r="K38" s="1026">
        <v>4800</v>
      </c>
      <c r="L38" s="1025">
        <v>1500</v>
      </c>
      <c r="M38" s="980">
        <f t="shared" si="1"/>
        <v>75008.790000000008</v>
      </c>
      <c r="N38" s="967">
        <f>I10</f>
        <v>82500</v>
      </c>
      <c r="O38" s="977">
        <f t="shared" si="2"/>
        <v>-7491.2099999999919</v>
      </c>
    </row>
    <row r="39" spans="1:15" ht="14.4">
      <c r="A39" s="119">
        <f t="shared" si="0"/>
        <v>2036</v>
      </c>
      <c r="B39" s="1054">
        <f t="shared" si="0"/>
        <v>81</v>
      </c>
      <c r="C39" s="1057">
        <f t="shared" si="0"/>
        <v>81</v>
      </c>
      <c r="D39" s="1026">
        <v>33768</v>
      </c>
      <c r="E39" s="1025">
        <v>14388</v>
      </c>
      <c r="F39" s="719">
        <v>2542.37</v>
      </c>
      <c r="G39" s="982">
        <v>2747.42</v>
      </c>
      <c r="H39" s="982">
        <v>2507</v>
      </c>
      <c r="I39" s="982">
        <v>0</v>
      </c>
      <c r="J39" s="1026">
        <v>12756</v>
      </c>
      <c r="K39" s="1026">
        <v>4800</v>
      </c>
      <c r="L39" s="1025">
        <v>1500</v>
      </c>
      <c r="M39" s="980">
        <f t="shared" si="1"/>
        <v>75008.790000000008</v>
      </c>
      <c r="N39" s="967">
        <f>I10</f>
        <v>82500</v>
      </c>
      <c r="O39" s="977">
        <f t="shared" si="2"/>
        <v>-7491.2099999999919</v>
      </c>
    </row>
    <row r="40" spans="1:15" ht="14.4">
      <c r="A40" s="119">
        <f t="shared" ref="A40:C52" si="3">A39+1</f>
        <v>2037</v>
      </c>
      <c r="B40" s="1053">
        <f t="shared" si="3"/>
        <v>82</v>
      </c>
      <c r="C40" s="1057">
        <f t="shared" si="3"/>
        <v>82</v>
      </c>
      <c r="D40" s="1026">
        <v>33768</v>
      </c>
      <c r="E40" s="1025">
        <v>14388</v>
      </c>
      <c r="F40" s="719">
        <v>2542.37</v>
      </c>
      <c r="G40" s="982">
        <v>2747.42</v>
      </c>
      <c r="H40" s="982">
        <v>2507</v>
      </c>
      <c r="I40" s="982">
        <v>0</v>
      </c>
      <c r="J40" s="1026">
        <v>12756</v>
      </c>
      <c r="K40" s="1026">
        <v>4800</v>
      </c>
      <c r="L40" s="1025">
        <v>1500</v>
      </c>
      <c r="M40" s="980">
        <f t="shared" si="1"/>
        <v>75008.790000000008</v>
      </c>
      <c r="N40" s="967">
        <f>I10</f>
        <v>82500</v>
      </c>
      <c r="O40" s="977">
        <f>M40-N41</f>
        <v>-7491.2099999999919</v>
      </c>
    </row>
    <row r="41" spans="1:15" ht="14.4">
      <c r="A41" s="119">
        <f>A40+1</f>
        <v>2038</v>
      </c>
      <c r="B41" s="1053">
        <f>B40+1</f>
        <v>83</v>
      </c>
      <c r="C41" s="1057">
        <f>C40+1</f>
        <v>83</v>
      </c>
      <c r="D41" s="1026">
        <v>33768</v>
      </c>
      <c r="E41" s="1025">
        <v>14388</v>
      </c>
      <c r="F41" s="719">
        <v>2542.37</v>
      </c>
      <c r="G41" s="982">
        <v>2747.42</v>
      </c>
      <c r="H41" s="982">
        <v>2507</v>
      </c>
      <c r="I41" s="982">
        <v>0</v>
      </c>
      <c r="J41" s="1026">
        <v>12756</v>
      </c>
      <c r="K41" s="1026">
        <v>4800</v>
      </c>
      <c r="L41" s="1025">
        <v>1500</v>
      </c>
      <c r="M41" s="980">
        <f t="shared" si="1"/>
        <v>75008.790000000008</v>
      </c>
      <c r="N41" s="967">
        <f>I10</f>
        <v>82500</v>
      </c>
      <c r="O41" s="977">
        <f t="shared" si="2"/>
        <v>-7491.2099999999919</v>
      </c>
    </row>
    <row r="42" spans="1:15" ht="14.4">
      <c r="A42" s="119">
        <f t="shared" si="3"/>
        <v>2039</v>
      </c>
      <c r="B42" s="1053">
        <f t="shared" si="3"/>
        <v>84</v>
      </c>
      <c r="C42" s="1057">
        <f t="shared" si="3"/>
        <v>84</v>
      </c>
      <c r="D42" s="1026">
        <v>33768</v>
      </c>
      <c r="E42" s="1025">
        <v>14388</v>
      </c>
      <c r="F42" s="719">
        <v>2542.37</v>
      </c>
      <c r="G42" s="982">
        <v>2747.42</v>
      </c>
      <c r="H42" s="982">
        <v>2507</v>
      </c>
      <c r="I42" s="982">
        <v>0</v>
      </c>
      <c r="J42" s="1026">
        <v>12756</v>
      </c>
      <c r="K42" s="1026">
        <v>4800</v>
      </c>
      <c r="L42" s="1025">
        <v>1500</v>
      </c>
      <c r="M42" s="980">
        <f t="shared" si="1"/>
        <v>75008.790000000008</v>
      </c>
      <c r="N42" s="967">
        <f>I10</f>
        <v>82500</v>
      </c>
      <c r="O42" s="977">
        <f t="shared" si="2"/>
        <v>-7491.2099999999919</v>
      </c>
    </row>
    <row r="43" spans="1:15" ht="14.4">
      <c r="A43" s="119">
        <f t="shared" si="3"/>
        <v>2040</v>
      </c>
      <c r="B43" s="1053">
        <f t="shared" si="3"/>
        <v>85</v>
      </c>
      <c r="C43" s="1057">
        <f t="shared" si="3"/>
        <v>85</v>
      </c>
      <c r="D43" s="1026">
        <v>33768</v>
      </c>
      <c r="E43" s="1025">
        <v>14388</v>
      </c>
      <c r="F43" s="719">
        <v>2542.37</v>
      </c>
      <c r="G43" s="982">
        <v>2747.42</v>
      </c>
      <c r="H43" s="982">
        <v>2507</v>
      </c>
      <c r="I43" s="982">
        <v>0</v>
      </c>
      <c r="J43" s="1026">
        <v>12756</v>
      </c>
      <c r="K43" s="1026">
        <v>4800</v>
      </c>
      <c r="L43" s="1025">
        <v>1500</v>
      </c>
      <c r="M43" s="980">
        <f t="shared" si="1"/>
        <v>75008.790000000008</v>
      </c>
      <c r="N43" s="967">
        <f>I10</f>
        <v>82500</v>
      </c>
      <c r="O43" s="977">
        <f t="shared" si="2"/>
        <v>-7491.2099999999919</v>
      </c>
    </row>
    <row r="44" spans="1:15" ht="14.4">
      <c r="A44" s="119">
        <f t="shared" si="3"/>
        <v>2041</v>
      </c>
      <c r="B44" s="1053">
        <f t="shared" si="3"/>
        <v>86</v>
      </c>
      <c r="C44" s="1057">
        <f t="shared" si="3"/>
        <v>86</v>
      </c>
      <c r="D44" s="1026">
        <v>33768</v>
      </c>
      <c r="E44" s="1025">
        <v>14388</v>
      </c>
      <c r="F44" s="719">
        <v>2542.37</v>
      </c>
      <c r="G44" s="982">
        <v>2747.42</v>
      </c>
      <c r="H44" s="982">
        <v>2507</v>
      </c>
      <c r="I44" s="982">
        <v>0</v>
      </c>
      <c r="J44" s="1026">
        <v>12756</v>
      </c>
      <c r="K44" s="1026">
        <v>4800</v>
      </c>
      <c r="L44" s="1025">
        <v>1500</v>
      </c>
      <c r="M44" s="980">
        <f t="shared" si="1"/>
        <v>75008.790000000008</v>
      </c>
      <c r="N44" s="967">
        <f>I10</f>
        <v>82500</v>
      </c>
      <c r="O44" s="977">
        <f>M44-N49</f>
        <v>-7491.2099999999919</v>
      </c>
    </row>
    <row r="45" spans="1:15" ht="12.45">
      <c r="A45" s="1899"/>
      <c r="B45" s="1900"/>
      <c r="C45" s="1900"/>
      <c r="D45" s="1900"/>
      <c r="E45" s="1900"/>
      <c r="F45" s="1900"/>
      <c r="G45" s="1900"/>
      <c r="H45" s="1900"/>
      <c r="I45" s="1900"/>
      <c r="J45" s="1900"/>
      <c r="K45" s="1900"/>
      <c r="L45" s="1900"/>
      <c r="M45" s="1900"/>
      <c r="N45" s="1900"/>
      <c r="O45" s="1901"/>
    </row>
    <row r="46" spans="1:15" ht="23.6">
      <c r="A46" s="1902" t="s">
        <v>528</v>
      </c>
      <c r="B46" s="1903"/>
      <c r="C46" s="1903"/>
      <c r="D46" s="1903"/>
      <c r="E46" s="1903"/>
      <c r="F46" s="1903"/>
      <c r="G46" s="1903"/>
      <c r="H46" s="1903"/>
      <c r="I46" s="1903"/>
      <c r="J46" s="1903"/>
      <c r="K46" s="1903"/>
      <c r="L46" s="1903"/>
      <c r="M46" s="1903"/>
      <c r="N46" s="1903"/>
      <c r="O46" s="1903"/>
    </row>
    <row r="47" spans="1:15" ht="12.45">
      <c r="A47" s="1904"/>
      <c r="B47" s="1905"/>
      <c r="C47" s="1905"/>
      <c r="D47" s="1905"/>
      <c r="E47" s="1905"/>
      <c r="F47" s="1905"/>
      <c r="G47" s="1905"/>
      <c r="H47" s="1905"/>
      <c r="I47" s="1905"/>
      <c r="J47" s="1905"/>
      <c r="K47" s="1905"/>
      <c r="L47" s="1905"/>
      <c r="M47" s="1905"/>
      <c r="N47" s="1905"/>
      <c r="O47" s="1906"/>
    </row>
    <row r="48" spans="1:15" ht="18.350000000000001">
      <c r="A48" s="1881" t="s">
        <v>392</v>
      </c>
      <c r="B48" s="1882"/>
      <c r="C48" s="1882"/>
      <c r="D48" s="1882"/>
      <c r="E48" s="1882"/>
      <c r="F48" s="1882"/>
      <c r="G48" s="1882"/>
      <c r="H48" s="1882"/>
      <c r="I48" s="1882"/>
      <c r="J48" s="1882"/>
      <c r="K48" s="1882"/>
      <c r="L48" s="1882"/>
      <c r="M48" s="1882"/>
      <c r="N48" s="1882"/>
      <c r="O48" s="1883"/>
    </row>
    <row r="49" spans="1:16" ht="15.05">
      <c r="A49" s="1055">
        <f>A44+1</f>
        <v>2042</v>
      </c>
      <c r="B49" s="1056">
        <f>B44+1</f>
        <v>87</v>
      </c>
      <c r="C49" s="1062">
        <f>C44+1</f>
        <v>87</v>
      </c>
      <c r="D49" s="1026">
        <v>33768</v>
      </c>
      <c r="E49" s="1025">
        <v>0</v>
      </c>
      <c r="F49" s="719">
        <v>2542.37</v>
      </c>
      <c r="G49" s="982">
        <v>2747.42</v>
      </c>
      <c r="H49" s="982">
        <v>2507</v>
      </c>
      <c r="I49" s="1025">
        <v>0</v>
      </c>
      <c r="J49" s="1026">
        <v>12758</v>
      </c>
      <c r="K49" s="1026">
        <v>4800</v>
      </c>
      <c r="L49" s="1025">
        <v>1500</v>
      </c>
      <c r="M49" s="980">
        <f t="shared" ref="M49:M57" si="4">D49+E49+F49+G49+H49+I49+J49+K49+L49</f>
        <v>60622.79</v>
      </c>
      <c r="N49" s="967">
        <f>I10</f>
        <v>82500</v>
      </c>
      <c r="O49" s="1157">
        <f>M49-N54</f>
        <v>-21877.21</v>
      </c>
    </row>
    <row r="50" spans="1:16" ht="14.4">
      <c r="A50" s="119">
        <f t="shared" si="3"/>
        <v>2043</v>
      </c>
      <c r="B50" s="1054">
        <f t="shared" si="3"/>
        <v>88</v>
      </c>
      <c r="C50" s="1057">
        <f t="shared" si="3"/>
        <v>88</v>
      </c>
      <c r="D50" s="1026">
        <v>33768</v>
      </c>
      <c r="E50" s="1025">
        <v>0</v>
      </c>
      <c r="F50" s="719">
        <v>2542.37</v>
      </c>
      <c r="G50" s="982">
        <v>2747.42</v>
      </c>
      <c r="H50" s="982">
        <v>2507</v>
      </c>
      <c r="I50" s="1025">
        <v>0</v>
      </c>
      <c r="J50" s="1026">
        <v>12758</v>
      </c>
      <c r="K50" s="1026">
        <v>4800</v>
      </c>
      <c r="L50" s="1025">
        <v>1500</v>
      </c>
      <c r="M50" s="980">
        <f t="shared" si="4"/>
        <v>60622.79</v>
      </c>
      <c r="N50" s="967">
        <f>I10</f>
        <v>82500</v>
      </c>
      <c r="O50" s="977">
        <f t="shared" si="2"/>
        <v>-21877.21</v>
      </c>
    </row>
    <row r="51" spans="1:16" ht="14.4">
      <c r="A51" s="119">
        <f t="shared" si="3"/>
        <v>2044</v>
      </c>
      <c r="B51" s="1053">
        <f t="shared" si="3"/>
        <v>89</v>
      </c>
      <c r="C51" s="1057">
        <f t="shared" si="3"/>
        <v>89</v>
      </c>
      <c r="D51" s="1026">
        <v>33768</v>
      </c>
      <c r="E51" s="1025">
        <v>0</v>
      </c>
      <c r="F51" s="719">
        <v>2542.37</v>
      </c>
      <c r="G51" s="982">
        <v>2747.42</v>
      </c>
      <c r="H51" s="982">
        <v>2507</v>
      </c>
      <c r="I51" s="1025">
        <v>0</v>
      </c>
      <c r="J51" s="1026">
        <v>12758</v>
      </c>
      <c r="K51" s="1026">
        <v>4800</v>
      </c>
      <c r="L51" s="1025">
        <v>1500</v>
      </c>
      <c r="M51" s="980">
        <f t="shared" si="4"/>
        <v>60622.79</v>
      </c>
      <c r="N51" s="967">
        <f>I10</f>
        <v>82500</v>
      </c>
      <c r="O51" s="977">
        <f t="shared" si="2"/>
        <v>-21877.21</v>
      </c>
    </row>
    <row r="52" spans="1:16" ht="14.4">
      <c r="A52" s="144">
        <f t="shared" si="3"/>
        <v>2045</v>
      </c>
      <c r="B52" s="1052">
        <f t="shared" si="3"/>
        <v>90</v>
      </c>
      <c r="C52" s="1060">
        <f t="shared" si="3"/>
        <v>90</v>
      </c>
      <c r="D52" s="1026">
        <v>33768</v>
      </c>
      <c r="E52" s="1025">
        <v>0</v>
      </c>
      <c r="F52" s="719">
        <v>2542.37</v>
      </c>
      <c r="G52" s="982">
        <v>2747.42</v>
      </c>
      <c r="H52" s="982">
        <v>2507</v>
      </c>
      <c r="I52" s="1025">
        <v>0</v>
      </c>
      <c r="J52" s="1026">
        <v>12758</v>
      </c>
      <c r="K52" s="1026">
        <v>4800</v>
      </c>
      <c r="L52" s="1025">
        <v>1500</v>
      </c>
      <c r="M52" s="980">
        <f t="shared" si="4"/>
        <v>60622.79</v>
      </c>
      <c r="N52" s="984">
        <f>I10</f>
        <v>82500</v>
      </c>
      <c r="O52" s="985">
        <f>M52-N54</f>
        <v>-21877.21</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5.05">
      <c r="A54" s="137">
        <f>A52+1</f>
        <v>2046</v>
      </c>
      <c r="B54" s="1063">
        <f>B52+1</f>
        <v>91</v>
      </c>
      <c r="C54" s="1064">
        <f>C52+1</f>
        <v>91</v>
      </c>
      <c r="D54" s="1090">
        <v>33768</v>
      </c>
      <c r="E54" s="1025">
        <v>0</v>
      </c>
      <c r="F54" s="719">
        <v>2542.37</v>
      </c>
      <c r="G54" s="982">
        <v>2747.42</v>
      </c>
      <c r="H54" s="982">
        <v>2507</v>
      </c>
      <c r="I54" s="1025">
        <v>0</v>
      </c>
      <c r="J54" s="1026">
        <v>12758</v>
      </c>
      <c r="K54" s="1026">
        <v>4800</v>
      </c>
      <c r="L54" s="1025">
        <v>0</v>
      </c>
      <c r="M54" s="980">
        <f t="shared" si="4"/>
        <v>59122.79</v>
      </c>
      <c r="N54" s="967">
        <f>I10</f>
        <v>82500</v>
      </c>
      <c r="O54" s="1157">
        <f>M54-N55</f>
        <v>-23377.21</v>
      </c>
    </row>
    <row r="55" spans="1:16" ht="13.1" customHeight="1">
      <c r="A55" s="137">
        <f t="shared" ref="A55:C57" si="5">A54+1</f>
        <v>2047</v>
      </c>
      <c r="B55" s="1054">
        <f t="shared" si="5"/>
        <v>92</v>
      </c>
      <c r="C55" s="1059">
        <f t="shared" si="5"/>
        <v>92</v>
      </c>
      <c r="D55" s="1090">
        <v>33768</v>
      </c>
      <c r="E55" s="1025">
        <v>0</v>
      </c>
      <c r="F55" s="719">
        <v>2542.37</v>
      </c>
      <c r="G55" s="982">
        <v>2747.42</v>
      </c>
      <c r="H55" s="982">
        <v>2507</v>
      </c>
      <c r="I55" s="1025">
        <v>0</v>
      </c>
      <c r="J55" s="1026">
        <v>12758</v>
      </c>
      <c r="K55" s="1026">
        <v>4800</v>
      </c>
      <c r="L55" s="1025">
        <v>0</v>
      </c>
      <c r="M55" s="980">
        <f t="shared" si="4"/>
        <v>59122.79</v>
      </c>
      <c r="N55" s="967">
        <f>I10</f>
        <v>82500</v>
      </c>
      <c r="O55" s="977">
        <f>M55-N55</f>
        <v>-23377.21</v>
      </c>
    </row>
    <row r="56" spans="1:16" ht="13.1" customHeight="1">
      <c r="A56" s="137">
        <f t="shared" si="5"/>
        <v>2048</v>
      </c>
      <c r="B56" s="1054">
        <f t="shared" si="5"/>
        <v>93</v>
      </c>
      <c r="C56" s="1059">
        <f t="shared" si="5"/>
        <v>93</v>
      </c>
      <c r="D56" s="1090">
        <v>33768</v>
      </c>
      <c r="E56" s="1025">
        <v>0</v>
      </c>
      <c r="F56" s="719">
        <v>2542.37</v>
      </c>
      <c r="G56" s="982">
        <v>2747.42</v>
      </c>
      <c r="H56" s="982">
        <v>2507</v>
      </c>
      <c r="I56" s="1025">
        <v>0</v>
      </c>
      <c r="J56" s="1026">
        <v>12758</v>
      </c>
      <c r="K56" s="1026">
        <v>4800</v>
      </c>
      <c r="L56" s="1025">
        <v>0</v>
      </c>
      <c r="M56" s="980">
        <f t="shared" si="4"/>
        <v>59122.79</v>
      </c>
      <c r="N56" s="967">
        <f>I10</f>
        <v>82500</v>
      </c>
      <c r="O56" s="977">
        <f t="shared" ref="O56:O57" si="6">M56-N56</f>
        <v>-23377.21</v>
      </c>
    </row>
    <row r="57" spans="1:16" ht="13.1" customHeight="1">
      <c r="A57" s="137">
        <f t="shared" si="5"/>
        <v>2049</v>
      </c>
      <c r="B57" s="1054">
        <f t="shared" si="5"/>
        <v>94</v>
      </c>
      <c r="C57" s="1059">
        <f t="shared" si="5"/>
        <v>94</v>
      </c>
      <c r="D57" s="1090">
        <v>33768</v>
      </c>
      <c r="E57" s="1025">
        <v>0</v>
      </c>
      <c r="F57" s="719">
        <v>2542.37</v>
      </c>
      <c r="G57" s="982">
        <v>2747.42</v>
      </c>
      <c r="H57" s="982">
        <v>2507</v>
      </c>
      <c r="I57" s="1025">
        <v>0</v>
      </c>
      <c r="J57" s="1026">
        <v>12758</v>
      </c>
      <c r="K57" s="1026">
        <v>4800</v>
      </c>
      <c r="L57" s="1025">
        <v>0</v>
      </c>
      <c r="M57" s="980">
        <f t="shared" si="4"/>
        <v>59122.79</v>
      </c>
      <c r="N57" s="967">
        <f>I10</f>
        <v>82500</v>
      </c>
      <c r="O57" s="977">
        <f t="shared" si="6"/>
        <v>-23377.21</v>
      </c>
    </row>
    <row r="58" spans="1:16" ht="12.45">
      <c r="A58" s="1895"/>
      <c r="B58" s="1895"/>
      <c r="C58" s="1895"/>
      <c r="D58" s="1895"/>
      <c r="E58" s="1895"/>
      <c r="F58" s="1895"/>
      <c r="G58" s="1895"/>
      <c r="H58" s="1895"/>
      <c r="I58" s="1895"/>
      <c r="J58" s="1895"/>
      <c r="K58" s="1895"/>
      <c r="L58" s="1895"/>
      <c r="M58" s="1895"/>
      <c r="N58" s="1895"/>
      <c r="O58" s="1896"/>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10:D10"/>
    <mergeCell ref="J10:N10"/>
    <mergeCell ref="A7:C7"/>
    <mergeCell ref="E7:F7"/>
    <mergeCell ref="A1:D1"/>
    <mergeCell ref="F1:H1"/>
    <mergeCell ref="J1:L1"/>
    <mergeCell ref="A6:C6"/>
    <mergeCell ref="E6:F6"/>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61:O61"/>
    <mergeCell ref="A62:O62"/>
    <mergeCell ref="A45:O45"/>
    <mergeCell ref="A46:O46"/>
    <mergeCell ref="A47:O47"/>
    <mergeCell ref="A48:O48"/>
    <mergeCell ref="A53:O53"/>
    <mergeCell ref="A58:O5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875" style="71" customWidth="1"/>
    <col min="6" max="6" width="10.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63" t="s">
        <v>137</v>
      </c>
      <c r="B1" s="1564"/>
      <c r="C1" s="1564"/>
      <c r="D1" s="1565"/>
      <c r="E1" s="1018" t="s">
        <v>42</v>
      </c>
      <c r="F1" s="1566" t="s">
        <v>567</v>
      </c>
      <c r="G1" s="1567"/>
      <c r="H1" s="1568"/>
      <c r="I1" s="1018" t="s">
        <v>44</v>
      </c>
      <c r="J1" s="1569" t="s">
        <v>568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20264</v>
      </c>
      <c r="G3" s="1008">
        <v>65</v>
      </c>
      <c r="H3" s="1012" t="s">
        <v>411</v>
      </c>
      <c r="I3" s="1008">
        <v>66</v>
      </c>
      <c r="J3" s="1016">
        <f>I3-G3</f>
        <v>1</v>
      </c>
      <c r="K3" s="1033" t="s">
        <v>47</v>
      </c>
      <c r="L3" s="192"/>
      <c r="Q3" s="89"/>
    </row>
    <row r="4" spans="1:17" ht="15.05">
      <c r="C4" s="988">
        <f ca="1">TODAY()</f>
        <v>46198</v>
      </c>
      <c r="E4" s="1065" t="s">
        <v>374</v>
      </c>
      <c r="F4" s="1007">
        <v>19987</v>
      </c>
      <c r="G4" s="1008">
        <v>65</v>
      </c>
      <c r="H4" s="1065" t="s">
        <v>373</v>
      </c>
      <c r="I4" s="1008">
        <v>66</v>
      </c>
      <c r="J4" s="971">
        <f>I4-G4</f>
        <v>1</v>
      </c>
      <c r="K4" s="1065" t="s">
        <v>47</v>
      </c>
    </row>
    <row r="5" spans="1:17" s="89" customFormat="1" ht="20.3">
      <c r="B5" s="208"/>
      <c r="C5" s="970">
        <v>2020</v>
      </c>
      <c r="D5" s="192"/>
      <c r="E5" s="925"/>
      <c r="F5" s="925"/>
      <c r="G5" s="192"/>
      <c r="H5" s="192"/>
      <c r="I5" s="969"/>
      <c r="J5" s="192"/>
      <c r="K5" s="192"/>
      <c r="L5" s="969"/>
      <c r="M5" s="371"/>
      <c r="N5" s="192"/>
    </row>
    <row r="6" spans="1:17" s="89" customFormat="1" ht="17.7">
      <c r="A6" s="1788" t="s">
        <v>375</v>
      </c>
      <c r="B6" s="1789"/>
      <c r="C6" s="1790"/>
      <c r="D6" s="1009">
        <v>9166.67</v>
      </c>
      <c r="E6" s="1791" t="s">
        <v>376</v>
      </c>
      <c r="F6" s="1741"/>
      <c r="G6" s="968" t="s">
        <v>377</v>
      </c>
      <c r="H6" s="968" t="s">
        <v>377</v>
      </c>
      <c r="J6" s="968" t="s">
        <v>377</v>
      </c>
      <c r="K6" s="974"/>
      <c r="N6" s="16"/>
      <c r="O6" s="16"/>
    </row>
    <row r="7" spans="1:17" s="89" customFormat="1" ht="17.7">
      <c r="A7" s="1854" t="s">
        <v>378</v>
      </c>
      <c r="B7" s="1855"/>
      <c r="C7" s="1856"/>
      <c r="D7" s="1009">
        <v>0</v>
      </c>
      <c r="E7" s="1857" t="s">
        <v>379</v>
      </c>
      <c r="F7" s="1858"/>
      <c r="G7" s="968" t="s">
        <v>519</v>
      </c>
      <c r="H7" s="968" t="s">
        <v>519</v>
      </c>
      <c r="I7" s="1015">
        <f>D6+D7</f>
        <v>9166.67</v>
      </c>
      <c r="J7" s="968" t="s">
        <v>380</v>
      </c>
      <c r="K7" s="972">
        <f>D6+D7</f>
        <v>9166.67</v>
      </c>
      <c r="O7" s="16"/>
    </row>
    <row r="10" spans="1:17" ht="17.7">
      <c r="A10" s="1524" t="s">
        <v>50</v>
      </c>
      <c r="B10" s="1524"/>
      <c r="C10" s="1524"/>
      <c r="D10" s="1524"/>
      <c r="E10" s="1010">
        <v>5500</v>
      </c>
      <c r="F10" s="966">
        <f>E10*12</f>
        <v>66000</v>
      </c>
      <c r="G10" s="192"/>
      <c r="H10" s="192"/>
      <c r="I10" s="973">
        <f>F10*1.25</f>
        <v>82500</v>
      </c>
      <c r="J10" s="1734" t="s">
        <v>52</v>
      </c>
      <c r="K10" s="1734"/>
      <c r="L10" s="1734"/>
      <c r="M10" s="1734"/>
      <c r="N10" s="1734"/>
      <c r="O10" s="16"/>
    </row>
    <row r="11" spans="1:17" s="89" customFormat="1" ht="20.3">
      <c r="B11" s="208"/>
      <c r="C11" s="970"/>
      <c r="D11" s="192"/>
      <c r="E11" s="925"/>
      <c r="F11" s="925"/>
      <c r="G11" s="192"/>
      <c r="H11" s="192"/>
      <c r="I11" s="969"/>
      <c r="J11" s="192"/>
      <c r="K11" s="192"/>
      <c r="L11" s="969"/>
      <c r="M11" s="371"/>
      <c r="N11" s="192"/>
    </row>
    <row r="12" spans="1:17" ht="18" customHeight="1">
      <c r="A12" s="1742" t="s">
        <v>383</v>
      </c>
      <c r="B12" s="1743"/>
      <c r="C12" s="1744"/>
      <c r="D12" s="1010">
        <v>2814</v>
      </c>
      <c r="E12" s="1013" t="s">
        <v>12</v>
      </c>
      <c r="F12" s="1011">
        <v>66</v>
      </c>
      <c r="G12" s="1745" t="s">
        <v>54</v>
      </c>
      <c r="H12" s="1746"/>
      <c r="I12" s="1021">
        <f>D12*12</f>
        <v>33768</v>
      </c>
      <c r="J12" s="1553" t="s">
        <v>55</v>
      </c>
      <c r="K12" s="1553"/>
      <c r="L12" s="1553"/>
      <c r="M12" s="1553"/>
      <c r="N12" s="1553"/>
      <c r="O12" s="1553"/>
    </row>
    <row r="13" spans="1:17" ht="17.7">
      <c r="A13" s="1866" t="s">
        <v>521</v>
      </c>
      <c r="B13" s="1867"/>
      <c r="C13" s="1868"/>
      <c r="D13" s="1010">
        <v>1199</v>
      </c>
      <c r="E13" s="1066" t="s">
        <v>12</v>
      </c>
      <c r="F13" s="1011">
        <v>66</v>
      </c>
      <c r="G13" s="1869" t="s">
        <v>54</v>
      </c>
      <c r="H13" s="1870"/>
      <c r="I13" s="973">
        <f>D13*12</f>
        <v>14388</v>
      </c>
      <c r="J13" s="1552"/>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919" t="s">
        <v>572</v>
      </c>
      <c r="B15" s="1919"/>
      <c r="C15" s="1919"/>
      <c r="D15" s="1919"/>
      <c r="E15" s="1919"/>
      <c r="F15" s="1919"/>
      <c r="G15" s="1919"/>
      <c r="H15" s="1919"/>
      <c r="I15" s="1919"/>
      <c r="J15" s="1919"/>
      <c r="K15" s="1919"/>
      <c r="L15" s="1919"/>
      <c r="M15" s="1919"/>
      <c r="N15" s="1919"/>
      <c r="O15" s="1920"/>
    </row>
    <row r="16" spans="1:17"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110"/>
      <c r="B17" s="1110"/>
      <c r="C17" s="1110"/>
      <c r="D17" s="1027" t="s">
        <v>413</v>
      </c>
      <c r="E17" s="1046" t="s">
        <v>524</v>
      </c>
      <c r="F17" s="36"/>
      <c r="G17" s="881" t="s">
        <v>573</v>
      </c>
      <c r="H17" s="374" t="s">
        <v>574</v>
      </c>
      <c r="I17" s="1046" t="s">
        <v>563</v>
      </c>
      <c r="J17" s="374" t="s">
        <v>564</v>
      </c>
      <c r="K17" s="374" t="s">
        <v>565</v>
      </c>
      <c r="L17" s="1046" t="s">
        <v>575</v>
      </c>
      <c r="M17" s="1067" t="s">
        <v>65</v>
      </c>
      <c r="N17" s="1014" t="s">
        <v>66</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0"/>
      <c r="B19" s="1540"/>
      <c r="C19" s="1540"/>
      <c r="D19" s="1005"/>
      <c r="E19" s="1006"/>
      <c r="F19" s="1041"/>
      <c r="G19" s="1093">
        <v>1</v>
      </c>
      <c r="H19" s="1101" t="s">
        <v>576</v>
      </c>
      <c r="I19" s="1098">
        <v>0.75</v>
      </c>
      <c r="J19" s="1101">
        <v>1</v>
      </c>
      <c r="K19" s="1101">
        <v>1</v>
      </c>
      <c r="L19" s="1098">
        <v>0</v>
      </c>
      <c r="M19" s="992"/>
      <c r="N19" s="992"/>
      <c r="O19" s="993"/>
    </row>
    <row r="20" spans="1:23">
      <c r="A20" s="1811"/>
      <c r="B20" s="1811"/>
      <c r="C20" s="1812"/>
      <c r="D20" s="976">
        <f>F12</f>
        <v>66</v>
      </c>
      <c r="E20" s="976">
        <f>F13</f>
        <v>66</v>
      </c>
      <c r="F20" s="1105"/>
      <c r="G20" s="1095">
        <v>66</v>
      </c>
      <c r="H20" s="1104">
        <v>66</v>
      </c>
      <c r="I20" s="1099">
        <v>65</v>
      </c>
      <c r="J20" s="1102">
        <v>66</v>
      </c>
      <c r="K20" s="1102">
        <v>0</v>
      </c>
      <c r="L20" s="1099">
        <v>0</v>
      </c>
      <c r="M20" s="990"/>
      <c r="N20" s="989"/>
      <c r="O20" s="994"/>
    </row>
    <row r="21" spans="1:23" ht="16.05" customHeight="1">
      <c r="A21" s="1749" t="s">
        <v>26</v>
      </c>
      <c r="B21" s="1813" t="s">
        <v>390</v>
      </c>
      <c r="C21" s="1862" t="s">
        <v>58</v>
      </c>
      <c r="D21" s="975">
        <f>I12</f>
        <v>33768</v>
      </c>
      <c r="E21" s="975">
        <f>I13</f>
        <v>14388</v>
      </c>
      <c r="F21" s="975"/>
      <c r="G21" s="1096">
        <v>69120</v>
      </c>
      <c r="H21" s="1103">
        <v>100000</v>
      </c>
      <c r="I21" s="1100">
        <v>2076</v>
      </c>
      <c r="J21" s="1103">
        <v>12756</v>
      </c>
      <c r="K21" s="1103">
        <v>4800</v>
      </c>
      <c r="L21" s="1100">
        <v>0</v>
      </c>
      <c r="M21" s="990"/>
      <c r="N21" s="989"/>
      <c r="O21" s="994"/>
    </row>
    <row r="22" spans="1:23" ht="16.05" customHeight="1">
      <c r="A22" s="1750"/>
      <c r="B22" s="1814"/>
      <c r="C22" s="1863"/>
      <c r="D22" s="1917"/>
      <c r="E22" s="1917"/>
      <c r="F22" s="1917"/>
      <c r="G22" s="1917"/>
      <c r="H22" s="1917"/>
      <c r="I22" s="1917"/>
      <c r="J22" s="1917"/>
      <c r="K22" s="1917"/>
      <c r="L22" s="1918"/>
      <c r="M22" s="991"/>
      <c r="N22" s="208"/>
      <c r="O22" s="995"/>
    </row>
    <row r="23" spans="1:23" ht="14.4">
      <c r="A23" s="979" t="s">
        <v>68</v>
      </c>
      <c r="B23" s="1051">
        <f>G3</f>
        <v>65</v>
      </c>
      <c r="C23" s="1057">
        <f>G4</f>
        <v>65</v>
      </c>
      <c r="D23" s="982">
        <v>0</v>
      </c>
      <c r="E23" s="982">
        <v>0</v>
      </c>
      <c r="F23" s="982">
        <v>0</v>
      </c>
      <c r="G23" s="982">
        <v>0</v>
      </c>
      <c r="H23" s="982">
        <v>0</v>
      </c>
      <c r="I23" s="1025">
        <v>2076</v>
      </c>
      <c r="J23" s="982">
        <v>0</v>
      </c>
      <c r="K23" s="982">
        <v>0</v>
      </c>
      <c r="L23" s="982">
        <v>0</v>
      </c>
      <c r="M23" s="980">
        <f>D23+E23+F23+G23+H23+I23+J23+K23+L23</f>
        <v>2076</v>
      </c>
      <c r="N23" s="967">
        <f>I10</f>
        <v>82500</v>
      </c>
      <c r="O23" s="977">
        <f>M23-N24</f>
        <v>-80424</v>
      </c>
    </row>
    <row r="24" spans="1:23" ht="14.4">
      <c r="A24" s="119">
        <f t="shared" ref="A24:C39" si="0">A23+1</f>
        <v>2021</v>
      </c>
      <c r="B24" s="1052">
        <f t="shared" si="0"/>
        <v>66</v>
      </c>
      <c r="C24" s="1058">
        <f t="shared" si="0"/>
        <v>66</v>
      </c>
      <c r="D24" s="1026">
        <v>33768</v>
      </c>
      <c r="E24" s="1025">
        <v>14388</v>
      </c>
      <c r="F24" s="982">
        <v>0</v>
      </c>
      <c r="G24" s="719">
        <v>2542.37</v>
      </c>
      <c r="H24" s="1026">
        <f>'Spenddown calculator'!I5</f>
        <v>10200</v>
      </c>
      <c r="I24" s="1025">
        <v>2076</v>
      </c>
      <c r="J24" s="1026">
        <v>12756</v>
      </c>
      <c r="K24" s="1026">
        <v>4800</v>
      </c>
      <c r="L24" s="1025">
        <v>1500</v>
      </c>
      <c r="M24" s="980">
        <f t="shared" ref="M24:M40" si="1">D24+E24+F24+G24+H24+I24+J24+K24+L24</f>
        <v>82030.37</v>
      </c>
      <c r="N24" s="967">
        <f>I10</f>
        <v>82500</v>
      </c>
      <c r="O24" s="977">
        <f t="shared" ref="O24:O51" si="2">M24-N25</f>
        <v>-469.63000000000466</v>
      </c>
    </row>
    <row r="25" spans="1:23" ht="14.4">
      <c r="A25" s="155">
        <f t="shared" si="0"/>
        <v>2022</v>
      </c>
      <c r="B25" s="1053">
        <f t="shared" si="0"/>
        <v>67</v>
      </c>
      <c r="C25" s="1057">
        <f t="shared" si="0"/>
        <v>67</v>
      </c>
      <c r="D25" s="1026">
        <v>33768</v>
      </c>
      <c r="E25" s="1025">
        <v>14388</v>
      </c>
      <c r="F25" s="982">
        <v>0</v>
      </c>
      <c r="G25" s="719">
        <v>2542.37</v>
      </c>
      <c r="H25" s="1026">
        <f>'Spenddown calculator'!I7</f>
        <v>9363.6</v>
      </c>
      <c r="I25" s="1025">
        <v>2076</v>
      </c>
      <c r="J25" s="1026">
        <v>12756</v>
      </c>
      <c r="K25" s="1026">
        <v>4800</v>
      </c>
      <c r="L25" s="1025">
        <v>1500</v>
      </c>
      <c r="M25" s="980">
        <f t="shared" si="1"/>
        <v>81193.97</v>
      </c>
      <c r="N25" s="967">
        <f>I10</f>
        <v>82500</v>
      </c>
      <c r="O25" s="977">
        <f t="shared" si="2"/>
        <v>-1306.0299999999988</v>
      </c>
    </row>
    <row r="26" spans="1:23" ht="14.4">
      <c r="A26" s="119">
        <f t="shared" si="0"/>
        <v>2023</v>
      </c>
      <c r="B26" s="1054">
        <f t="shared" si="0"/>
        <v>68</v>
      </c>
      <c r="C26" s="1059">
        <f t="shared" si="0"/>
        <v>68</v>
      </c>
      <c r="D26" s="1026">
        <v>33768</v>
      </c>
      <c r="E26" s="1025">
        <v>14388</v>
      </c>
      <c r="F26" s="982">
        <v>0</v>
      </c>
      <c r="G26" s="719">
        <v>2542.37</v>
      </c>
      <c r="H26" s="1026">
        <f>'Spenddown calculator'!I9</f>
        <v>8408.5128000000004</v>
      </c>
      <c r="I26" s="1025">
        <v>2076</v>
      </c>
      <c r="J26" s="1026">
        <v>12756</v>
      </c>
      <c r="K26" s="1026">
        <v>4800</v>
      </c>
      <c r="L26" s="1025">
        <v>1500</v>
      </c>
      <c r="M26" s="980">
        <f t="shared" si="1"/>
        <v>80238.882800000007</v>
      </c>
      <c r="N26" s="967">
        <f>I10</f>
        <v>82500</v>
      </c>
      <c r="O26" s="977">
        <f t="shared" si="2"/>
        <v>-2261.1171999999933</v>
      </c>
    </row>
    <row r="27" spans="1:23" ht="14.4">
      <c r="A27" s="119">
        <f t="shared" si="0"/>
        <v>2024</v>
      </c>
      <c r="B27" s="1053">
        <f t="shared" si="0"/>
        <v>69</v>
      </c>
      <c r="C27" s="1057">
        <f t="shared" si="0"/>
        <v>69</v>
      </c>
      <c r="D27" s="1026">
        <v>33768</v>
      </c>
      <c r="E27" s="1025">
        <v>14388</v>
      </c>
      <c r="F27" s="982">
        <v>0</v>
      </c>
      <c r="G27" s="719">
        <v>2542.37</v>
      </c>
      <c r="H27" s="1026">
        <f>'Spenddown calculator'!I11</f>
        <v>7550.8444944000003</v>
      </c>
      <c r="I27" s="1025">
        <v>2076</v>
      </c>
      <c r="J27" s="1026">
        <v>12756</v>
      </c>
      <c r="K27" s="1026">
        <v>4800</v>
      </c>
      <c r="L27" s="1025">
        <v>1500</v>
      </c>
      <c r="M27" s="980">
        <f t="shared" si="1"/>
        <v>79381.214494400003</v>
      </c>
      <c r="N27" s="967">
        <f>I10</f>
        <v>82500</v>
      </c>
      <c r="O27" s="977">
        <f t="shared" si="2"/>
        <v>-3118.7855055999971</v>
      </c>
    </row>
    <row r="28" spans="1:23" ht="14.4">
      <c r="A28" s="119">
        <f t="shared" si="0"/>
        <v>2025</v>
      </c>
      <c r="B28" s="1052">
        <f t="shared" si="0"/>
        <v>70</v>
      </c>
      <c r="C28" s="1060">
        <f t="shared" si="0"/>
        <v>70</v>
      </c>
      <c r="D28" s="1026">
        <v>33768</v>
      </c>
      <c r="E28" s="1025">
        <v>14388</v>
      </c>
      <c r="F28" s="982">
        <v>0</v>
      </c>
      <c r="G28" s="719">
        <v>2542.37</v>
      </c>
      <c r="H28" s="1026">
        <f>'Spenddown calculator'!I13</f>
        <v>6780.6583559712008</v>
      </c>
      <c r="I28" s="1025">
        <v>2076</v>
      </c>
      <c r="J28" s="1026">
        <v>12756</v>
      </c>
      <c r="K28" s="1026">
        <v>4800</v>
      </c>
      <c r="L28" s="1025">
        <v>1500</v>
      </c>
      <c r="M28" s="980">
        <f t="shared" si="1"/>
        <v>78611.028355971212</v>
      </c>
      <c r="N28" s="967">
        <f>I10</f>
        <v>82500</v>
      </c>
      <c r="O28" s="977">
        <f t="shared" si="2"/>
        <v>-3888.9716440287884</v>
      </c>
    </row>
    <row r="29" spans="1:23" ht="14.4">
      <c r="A29" s="155">
        <f t="shared" si="0"/>
        <v>2026</v>
      </c>
      <c r="B29" s="1053">
        <f t="shared" si="0"/>
        <v>71</v>
      </c>
      <c r="C29" s="1057">
        <f t="shared" si="0"/>
        <v>71</v>
      </c>
      <c r="D29" s="1026">
        <v>33768</v>
      </c>
      <c r="E29" s="1025">
        <v>14388</v>
      </c>
      <c r="F29" s="982">
        <v>0</v>
      </c>
      <c r="G29" s="719">
        <v>2542.37</v>
      </c>
      <c r="H29" s="1026">
        <f>'Spenddown calculator'!I15</f>
        <v>6089.0312036621381</v>
      </c>
      <c r="I29" s="1025">
        <v>2076</v>
      </c>
      <c r="J29" s="1026">
        <v>12756</v>
      </c>
      <c r="K29" s="1026">
        <v>4800</v>
      </c>
      <c r="L29" s="1025">
        <v>1500</v>
      </c>
      <c r="M29" s="980">
        <f t="shared" si="1"/>
        <v>77919.401203662143</v>
      </c>
      <c r="N29" s="967">
        <f>I10</f>
        <v>82500</v>
      </c>
      <c r="O29" s="977">
        <f t="shared" si="2"/>
        <v>-4580.5987963378575</v>
      </c>
    </row>
    <row r="30" spans="1:23" ht="14.4">
      <c r="A30" s="119">
        <f t="shared" si="0"/>
        <v>2027</v>
      </c>
      <c r="B30" s="1054">
        <f t="shared" si="0"/>
        <v>72</v>
      </c>
      <c r="C30" s="1059">
        <f t="shared" si="0"/>
        <v>72</v>
      </c>
      <c r="D30" s="1026">
        <v>33768</v>
      </c>
      <c r="E30" s="1025">
        <v>14388</v>
      </c>
      <c r="F30" s="982">
        <v>0</v>
      </c>
      <c r="G30" s="719">
        <v>2542.37</v>
      </c>
      <c r="H30" s="1026">
        <f>'Spenddown calculator'!I17</f>
        <v>5467.9500208886002</v>
      </c>
      <c r="I30" s="1025">
        <v>2076</v>
      </c>
      <c r="J30" s="1026">
        <v>12756</v>
      </c>
      <c r="K30" s="1026">
        <v>4800</v>
      </c>
      <c r="L30" s="1025">
        <v>1500</v>
      </c>
      <c r="M30" s="980">
        <f t="shared" si="1"/>
        <v>77298.320020888612</v>
      </c>
      <c r="N30" s="967">
        <f>I10</f>
        <v>82500</v>
      </c>
      <c r="O30" s="977">
        <f t="shared" si="2"/>
        <v>-5201.6799791113881</v>
      </c>
    </row>
    <row r="31" spans="1:23" ht="14.4">
      <c r="A31" s="119">
        <f t="shared" si="0"/>
        <v>2028</v>
      </c>
      <c r="B31" s="1053">
        <f t="shared" si="0"/>
        <v>73</v>
      </c>
      <c r="C31" s="1057">
        <f t="shared" si="0"/>
        <v>73</v>
      </c>
      <c r="D31" s="1026">
        <v>33768</v>
      </c>
      <c r="E31" s="1025">
        <v>14388</v>
      </c>
      <c r="F31" s="982">
        <v>0</v>
      </c>
      <c r="G31" s="719">
        <v>2542.37</v>
      </c>
      <c r="H31" s="1026">
        <f>'Spenddown calculator'!I19</f>
        <v>4910.219118757962</v>
      </c>
      <c r="I31" s="1025">
        <v>2076</v>
      </c>
      <c r="J31" s="1026">
        <v>12756</v>
      </c>
      <c r="K31" s="1026">
        <v>4800</v>
      </c>
      <c r="L31" s="1025">
        <v>1500</v>
      </c>
      <c r="M31" s="980">
        <f t="shared" si="1"/>
        <v>76740.589118757955</v>
      </c>
      <c r="N31" s="967">
        <f>I10</f>
        <v>82500</v>
      </c>
      <c r="O31" s="977">
        <f t="shared" si="2"/>
        <v>-5759.4108812420454</v>
      </c>
    </row>
    <row r="32" spans="1:23" ht="14.4">
      <c r="A32" s="119">
        <f t="shared" si="0"/>
        <v>2029</v>
      </c>
      <c r="B32" s="1053">
        <f t="shared" si="0"/>
        <v>74</v>
      </c>
      <c r="C32" s="1057">
        <f t="shared" si="0"/>
        <v>74</v>
      </c>
      <c r="D32" s="1026">
        <v>33768</v>
      </c>
      <c r="E32" s="1025">
        <v>14388</v>
      </c>
      <c r="F32" s="982">
        <v>0</v>
      </c>
      <c r="G32" s="719">
        <v>2542.37</v>
      </c>
      <c r="H32" s="1026">
        <f>'Spenddown calculator'!I21</f>
        <v>4409.3767686446508</v>
      </c>
      <c r="I32" s="1025">
        <v>2076</v>
      </c>
      <c r="J32" s="1026">
        <v>12756</v>
      </c>
      <c r="K32" s="1026">
        <v>4800</v>
      </c>
      <c r="L32" s="1025">
        <v>1500</v>
      </c>
      <c r="M32" s="980">
        <f t="shared" si="1"/>
        <v>76239.746768644662</v>
      </c>
      <c r="N32" s="967">
        <f>I10</f>
        <v>82500</v>
      </c>
      <c r="O32" s="977">
        <f t="shared" si="2"/>
        <v>-6260.2532313553384</v>
      </c>
    </row>
    <row r="33" spans="1:15" ht="14.4">
      <c r="A33" s="119">
        <f t="shared" si="0"/>
        <v>2030</v>
      </c>
      <c r="B33" s="1053">
        <f t="shared" si="0"/>
        <v>75</v>
      </c>
      <c r="C33" s="1057">
        <f t="shared" si="0"/>
        <v>75</v>
      </c>
      <c r="D33" s="1026">
        <v>33768</v>
      </c>
      <c r="E33" s="1025">
        <v>14388</v>
      </c>
      <c r="F33" s="982">
        <v>0</v>
      </c>
      <c r="G33" s="719">
        <v>2542.37</v>
      </c>
      <c r="H33" s="1026">
        <f>'Spenddown calculator'!I23</f>
        <v>3959.6203382428962</v>
      </c>
      <c r="I33" s="1025">
        <v>2076</v>
      </c>
      <c r="J33" s="1026">
        <v>12756</v>
      </c>
      <c r="K33" s="1026">
        <v>4800</v>
      </c>
      <c r="L33" s="1025">
        <v>1500</v>
      </c>
      <c r="M33" s="980">
        <f t="shared" si="1"/>
        <v>75789.990338242904</v>
      </c>
      <c r="N33" s="967">
        <f>I10</f>
        <v>82500</v>
      </c>
      <c r="O33" s="977">
        <f t="shared" si="2"/>
        <v>-6710.0096617570962</v>
      </c>
    </row>
    <row r="34" spans="1:15" ht="14.4">
      <c r="A34" s="119">
        <f t="shared" si="0"/>
        <v>2031</v>
      </c>
      <c r="B34" s="1053">
        <f t="shared" si="0"/>
        <v>76</v>
      </c>
      <c r="C34" s="1057">
        <f t="shared" si="0"/>
        <v>76</v>
      </c>
      <c r="D34" s="1026">
        <v>33768</v>
      </c>
      <c r="E34" s="1025">
        <v>14388</v>
      </c>
      <c r="F34" s="982">
        <v>0</v>
      </c>
      <c r="G34" s="719">
        <v>2542.37</v>
      </c>
      <c r="H34" s="1026">
        <f>'Spenddown calculator'!I25</f>
        <v>3555.7390637421213</v>
      </c>
      <c r="I34" s="982">
        <v>0</v>
      </c>
      <c r="J34" s="1026">
        <v>12756</v>
      </c>
      <c r="K34" s="1026">
        <v>4800</v>
      </c>
      <c r="L34" s="1025">
        <v>1500</v>
      </c>
      <c r="M34" s="980">
        <f t="shared" si="1"/>
        <v>73310.109063742129</v>
      </c>
      <c r="N34" s="967">
        <f>I10</f>
        <v>82500</v>
      </c>
      <c r="O34" s="977">
        <f t="shared" si="2"/>
        <v>-9189.8909362578706</v>
      </c>
    </row>
    <row r="35" spans="1:15" ht="14.4">
      <c r="A35" s="119">
        <f t="shared" si="0"/>
        <v>2032</v>
      </c>
      <c r="B35" s="1053">
        <f t="shared" si="0"/>
        <v>77</v>
      </c>
      <c r="C35" s="1057">
        <f t="shared" si="0"/>
        <v>77</v>
      </c>
      <c r="D35" s="1026">
        <v>33768</v>
      </c>
      <c r="E35" s="1025">
        <v>14388</v>
      </c>
      <c r="F35" s="982">
        <v>0</v>
      </c>
      <c r="G35" s="719">
        <v>2542.37</v>
      </c>
      <c r="H35" s="1026">
        <f>'Spenddown calculator'!I27</f>
        <v>3193.0536792404246</v>
      </c>
      <c r="I35" s="982">
        <v>0</v>
      </c>
      <c r="J35" s="1026">
        <v>12756</v>
      </c>
      <c r="K35" s="1026">
        <v>4800</v>
      </c>
      <c r="L35" s="1025">
        <v>1500</v>
      </c>
      <c r="M35" s="980">
        <f t="shared" si="1"/>
        <v>72947.423679240426</v>
      </c>
      <c r="N35" s="967">
        <f>I10</f>
        <v>82500</v>
      </c>
      <c r="O35" s="977">
        <f t="shared" si="2"/>
        <v>-9552.5763207595737</v>
      </c>
    </row>
    <row r="36" spans="1:15" ht="14.4">
      <c r="A36" s="119">
        <f t="shared" si="0"/>
        <v>2033</v>
      </c>
      <c r="B36" s="1053">
        <f t="shared" si="0"/>
        <v>78</v>
      </c>
      <c r="C36" s="1057">
        <f t="shared" si="0"/>
        <v>78</v>
      </c>
      <c r="D36" s="1026">
        <v>33768</v>
      </c>
      <c r="E36" s="1025">
        <v>14388</v>
      </c>
      <c r="F36" s="982">
        <v>0</v>
      </c>
      <c r="G36" s="719">
        <v>2542.37</v>
      </c>
      <c r="H36" s="1026">
        <f>'Spenddown calculator'!I29</f>
        <v>2867.3622039579013</v>
      </c>
      <c r="I36" s="982">
        <v>0</v>
      </c>
      <c r="J36" s="1026">
        <v>12756</v>
      </c>
      <c r="K36" s="1026">
        <v>4800</v>
      </c>
      <c r="L36" s="1025">
        <v>1500</v>
      </c>
      <c r="M36" s="980">
        <f t="shared" si="1"/>
        <v>72621.732203957901</v>
      </c>
      <c r="N36" s="967">
        <f>I10</f>
        <v>82500</v>
      </c>
      <c r="O36" s="977">
        <f t="shared" si="2"/>
        <v>-9878.2677960420988</v>
      </c>
    </row>
    <row r="37" spans="1:15" ht="14.4">
      <c r="A37" s="119">
        <f t="shared" si="0"/>
        <v>2034</v>
      </c>
      <c r="B37" s="1053">
        <f t="shared" si="0"/>
        <v>79</v>
      </c>
      <c r="C37" s="1057">
        <f t="shared" si="0"/>
        <v>79</v>
      </c>
      <c r="D37" s="1026">
        <v>33768</v>
      </c>
      <c r="E37" s="1025">
        <v>14388</v>
      </c>
      <c r="F37" s="982">
        <v>0</v>
      </c>
      <c r="G37" s="719">
        <v>2542.37</v>
      </c>
      <c r="H37" s="1026">
        <f>'Spenddown calculator'!I31</f>
        <v>2574.8912591541957</v>
      </c>
      <c r="I37" s="982">
        <v>0</v>
      </c>
      <c r="J37" s="1026">
        <v>12756</v>
      </c>
      <c r="K37" s="1026">
        <v>4800</v>
      </c>
      <c r="L37" s="1025">
        <v>1500</v>
      </c>
      <c r="M37" s="980">
        <f t="shared" si="1"/>
        <v>72329.261259154198</v>
      </c>
      <c r="N37" s="967">
        <f>I10</f>
        <v>82500</v>
      </c>
      <c r="O37" s="977">
        <f t="shared" si="2"/>
        <v>-10170.738740845802</v>
      </c>
    </row>
    <row r="38" spans="1:15" ht="14.4">
      <c r="A38" s="155">
        <f t="shared" si="0"/>
        <v>2035</v>
      </c>
      <c r="B38" s="1053">
        <f t="shared" si="0"/>
        <v>80</v>
      </c>
      <c r="C38" s="1061">
        <f t="shared" si="0"/>
        <v>80</v>
      </c>
      <c r="D38" s="1026">
        <v>33768</v>
      </c>
      <c r="E38" s="1025">
        <v>14388</v>
      </c>
      <c r="F38" s="982">
        <v>0</v>
      </c>
      <c r="G38" s="719">
        <v>2542.37</v>
      </c>
      <c r="H38" s="1026">
        <f>'Spenddown calculator'!I33</f>
        <v>2312.2523507204673</v>
      </c>
      <c r="I38" s="982">
        <v>0</v>
      </c>
      <c r="J38" s="1026">
        <v>12756</v>
      </c>
      <c r="K38" s="1026">
        <v>4800</v>
      </c>
      <c r="L38" s="1025">
        <v>1500</v>
      </c>
      <c r="M38" s="980">
        <f t="shared" si="1"/>
        <v>72066.62235072047</v>
      </c>
      <c r="N38" s="967">
        <f>I10</f>
        <v>82500</v>
      </c>
      <c r="O38" s="977">
        <f t="shared" si="2"/>
        <v>-10433.37764927953</v>
      </c>
    </row>
    <row r="39" spans="1:15" ht="14.4">
      <c r="A39" s="119">
        <f t="shared" si="0"/>
        <v>2036</v>
      </c>
      <c r="B39" s="1054">
        <f t="shared" si="0"/>
        <v>81</v>
      </c>
      <c r="C39" s="1057">
        <f t="shared" si="0"/>
        <v>81</v>
      </c>
      <c r="D39" s="1026">
        <v>33768</v>
      </c>
      <c r="E39" s="1025">
        <v>14388</v>
      </c>
      <c r="F39" s="982">
        <v>0</v>
      </c>
      <c r="G39" s="719">
        <v>2542.37</v>
      </c>
      <c r="H39" s="1026">
        <f>'Spenddown calculator'!I35</f>
        <v>2076.4026109469796</v>
      </c>
      <c r="I39" s="982">
        <v>0</v>
      </c>
      <c r="J39" s="1026">
        <v>12756</v>
      </c>
      <c r="K39" s="1026">
        <v>4800</v>
      </c>
      <c r="L39" s="1025">
        <v>1500</v>
      </c>
      <c r="M39" s="980">
        <f t="shared" si="1"/>
        <v>71830.77261094698</v>
      </c>
      <c r="N39" s="967">
        <f>I10</f>
        <v>82500</v>
      </c>
      <c r="O39" s="977">
        <f t="shared" si="2"/>
        <v>-10669.22738905302</v>
      </c>
    </row>
    <row r="40" spans="1:15" ht="14.4">
      <c r="A40" s="119">
        <f t="shared" ref="A40:C52" si="3">A39+1</f>
        <v>2037</v>
      </c>
      <c r="B40" s="1053">
        <f t="shared" si="3"/>
        <v>82</v>
      </c>
      <c r="C40" s="1057">
        <f t="shared" si="3"/>
        <v>82</v>
      </c>
      <c r="D40" s="1026">
        <v>33768</v>
      </c>
      <c r="E40" s="1025">
        <v>14388</v>
      </c>
      <c r="F40" s="982">
        <v>0</v>
      </c>
      <c r="G40" s="719">
        <v>2542.37</v>
      </c>
      <c r="H40" s="1026">
        <f>'Spenddown calculator'!I37</f>
        <v>1864.6095446303877</v>
      </c>
      <c r="I40" s="982">
        <v>0</v>
      </c>
      <c r="J40" s="1026">
        <v>12756</v>
      </c>
      <c r="K40" s="1026">
        <v>4800</v>
      </c>
      <c r="L40" s="1025">
        <v>1500</v>
      </c>
      <c r="M40" s="980">
        <f t="shared" si="1"/>
        <v>71618.979544630391</v>
      </c>
      <c r="N40" s="967">
        <f>I10</f>
        <v>82500</v>
      </c>
      <c r="O40" s="977">
        <f>M40-N41</f>
        <v>-10881.020455369609</v>
      </c>
    </row>
    <row r="41" spans="1:15" ht="14.4">
      <c r="A41" s="119">
        <f>A40+1</f>
        <v>2038</v>
      </c>
      <c r="B41" s="1053">
        <f>B40+1</f>
        <v>83</v>
      </c>
      <c r="C41" s="1057">
        <f>C40+1</f>
        <v>83</v>
      </c>
      <c r="D41" s="1026">
        <v>33768</v>
      </c>
      <c r="E41" s="1025">
        <v>14388</v>
      </c>
      <c r="F41" s="982">
        <v>0</v>
      </c>
      <c r="G41" s="719">
        <v>2542.37</v>
      </c>
      <c r="H41" s="1026">
        <f>'Spenddown calculator'!I39</f>
        <v>1674.4193710780883</v>
      </c>
      <c r="I41" s="982">
        <v>0</v>
      </c>
      <c r="J41" s="1026">
        <v>12756</v>
      </c>
      <c r="K41" s="1026">
        <v>4800</v>
      </c>
      <c r="L41" s="1025">
        <v>1500</v>
      </c>
      <c r="M41" s="981">
        <f t="shared" ref="M41:M57" si="4">SUM(D41+E41+F41+G41+H41+I41+J41+L41)</f>
        <v>66628.789371078092</v>
      </c>
      <c r="N41" s="967">
        <f>I10</f>
        <v>82500</v>
      </c>
      <c r="O41" s="977">
        <f t="shared" si="2"/>
        <v>-15871.210628921908</v>
      </c>
    </row>
    <row r="42" spans="1:15" ht="14.4">
      <c r="A42" s="119">
        <f t="shared" si="3"/>
        <v>2039</v>
      </c>
      <c r="B42" s="1053">
        <f t="shared" si="3"/>
        <v>84</v>
      </c>
      <c r="C42" s="1057">
        <f t="shared" si="3"/>
        <v>84</v>
      </c>
      <c r="D42" s="1026">
        <v>33768</v>
      </c>
      <c r="E42" s="1025">
        <v>14388</v>
      </c>
      <c r="F42" s="982">
        <v>0</v>
      </c>
      <c r="G42" s="719">
        <v>2542.37</v>
      </c>
      <c r="H42" s="1026">
        <f>'Spenddown calculator'!I41</f>
        <v>1503.628595228123</v>
      </c>
      <c r="I42" s="982">
        <v>0</v>
      </c>
      <c r="J42" s="1026">
        <v>12756</v>
      </c>
      <c r="K42" s="1026">
        <v>4800</v>
      </c>
      <c r="L42" s="1025">
        <v>1500</v>
      </c>
      <c r="M42" s="982">
        <f t="shared" si="4"/>
        <v>66457.998595228128</v>
      </c>
      <c r="N42" s="967">
        <f>I10</f>
        <v>82500</v>
      </c>
      <c r="O42" s="977">
        <f t="shared" si="2"/>
        <v>-16042.001404771872</v>
      </c>
    </row>
    <row r="43" spans="1:15" ht="14.4">
      <c r="A43" s="119">
        <f t="shared" si="3"/>
        <v>2040</v>
      </c>
      <c r="B43" s="1053">
        <f t="shared" si="3"/>
        <v>85</v>
      </c>
      <c r="C43" s="1057">
        <f t="shared" si="3"/>
        <v>85</v>
      </c>
      <c r="D43" s="1026">
        <v>33768</v>
      </c>
      <c r="E43" s="1025">
        <v>14388</v>
      </c>
      <c r="F43" s="982">
        <v>0</v>
      </c>
      <c r="G43" s="719">
        <v>2542.37</v>
      </c>
      <c r="H43" s="1026">
        <f>'Spenddown calculator'!I43</f>
        <v>1350.2584785148545</v>
      </c>
      <c r="I43" s="982">
        <v>0</v>
      </c>
      <c r="J43" s="1026">
        <v>12756</v>
      </c>
      <c r="K43" s="1026">
        <v>4800</v>
      </c>
      <c r="L43" s="1025">
        <v>1500</v>
      </c>
      <c r="M43" s="980">
        <f t="shared" si="4"/>
        <v>66304.62847851486</v>
      </c>
      <c r="N43" s="967">
        <f>I10</f>
        <v>82500</v>
      </c>
      <c r="O43" s="977">
        <f t="shared" si="2"/>
        <v>-16195.37152148514</v>
      </c>
    </row>
    <row r="44" spans="1:15" ht="14.4">
      <c r="A44" s="119">
        <f t="shared" si="3"/>
        <v>2041</v>
      </c>
      <c r="B44" s="1053">
        <f t="shared" si="3"/>
        <v>86</v>
      </c>
      <c r="C44" s="1057">
        <f t="shared" si="3"/>
        <v>86</v>
      </c>
      <c r="D44" s="1026">
        <v>33768</v>
      </c>
      <c r="E44" s="1025">
        <v>14388</v>
      </c>
      <c r="F44" s="982">
        <v>0</v>
      </c>
      <c r="G44" s="719">
        <v>2542.37</v>
      </c>
      <c r="H44" s="1026">
        <f>'Spenddown calculator'!I45</f>
        <v>1212.532113706339</v>
      </c>
      <c r="I44" s="982">
        <v>0</v>
      </c>
      <c r="J44" s="1026">
        <v>12756</v>
      </c>
      <c r="K44" s="1026">
        <v>4800</v>
      </c>
      <c r="L44" s="1025">
        <v>1500</v>
      </c>
      <c r="M44" s="980">
        <f t="shared" si="4"/>
        <v>66166.902113706339</v>
      </c>
      <c r="N44" s="967">
        <f>I10</f>
        <v>82500</v>
      </c>
      <c r="O44" s="977">
        <f>M44-N49</f>
        <v>-16333.097886293661</v>
      </c>
    </row>
    <row r="45" spans="1:15" ht="12.45">
      <c r="A45" s="1946"/>
      <c r="B45" s="1947"/>
      <c r="C45" s="1947"/>
      <c r="D45" s="1947"/>
      <c r="E45" s="1947"/>
      <c r="F45" s="1947"/>
      <c r="G45" s="1947"/>
      <c r="H45" s="1947"/>
      <c r="I45" s="1947"/>
      <c r="J45" s="1947"/>
      <c r="K45" s="1947"/>
      <c r="L45" s="1947"/>
      <c r="M45" s="1947"/>
      <c r="N45" s="1947"/>
      <c r="O45" s="1948"/>
    </row>
    <row r="46" spans="1:15" ht="23.6">
      <c r="A46" s="1924" t="s">
        <v>577</v>
      </c>
      <c r="B46" s="1925"/>
      <c r="C46" s="1925"/>
      <c r="D46" s="1925"/>
      <c r="E46" s="1925"/>
      <c r="F46" s="1925"/>
      <c r="G46" s="1925"/>
      <c r="H46" s="1925"/>
      <c r="I46" s="1925"/>
      <c r="J46" s="1925"/>
      <c r="K46" s="1925"/>
      <c r="L46" s="1925"/>
      <c r="M46" s="1925"/>
      <c r="N46" s="1925"/>
      <c r="O46" s="1925"/>
    </row>
    <row r="47" spans="1:15" ht="12.45">
      <c r="A47" s="1943"/>
      <c r="B47" s="1944"/>
      <c r="C47" s="1944"/>
      <c r="D47" s="1944"/>
      <c r="E47" s="1944"/>
      <c r="F47" s="1944"/>
      <c r="G47" s="1944"/>
      <c r="H47" s="1944"/>
      <c r="I47" s="1944"/>
      <c r="J47" s="1944"/>
      <c r="K47" s="1944"/>
      <c r="L47" s="1944"/>
      <c r="M47" s="1944"/>
      <c r="N47" s="1944"/>
      <c r="O47" s="1945"/>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2042</v>
      </c>
      <c r="B49" s="1056">
        <f>B44+1</f>
        <v>87</v>
      </c>
      <c r="C49" s="1062">
        <f>C44+1</f>
        <v>87</v>
      </c>
      <c r="D49" s="1026">
        <v>33768</v>
      </c>
      <c r="E49" s="1025">
        <v>0</v>
      </c>
      <c r="F49" s="982">
        <v>0</v>
      </c>
      <c r="G49" s="719">
        <v>2542.37</v>
      </c>
      <c r="H49" s="1026">
        <f>'Spenddown calculator'!I45</f>
        <v>1212.532113706339</v>
      </c>
      <c r="I49" s="1025">
        <v>0</v>
      </c>
      <c r="J49" s="1026">
        <v>12758</v>
      </c>
      <c r="K49" s="1026">
        <v>4800</v>
      </c>
      <c r="L49" s="1025">
        <v>1500</v>
      </c>
      <c r="M49" s="980">
        <f t="shared" si="4"/>
        <v>51780.902113706339</v>
      </c>
      <c r="N49" s="967">
        <f>I10</f>
        <v>82500</v>
      </c>
      <c r="O49" s="977">
        <f t="shared" si="2"/>
        <v>-30719.097886293661</v>
      </c>
    </row>
    <row r="50" spans="1:16" ht="14.4">
      <c r="A50" s="119">
        <f t="shared" si="3"/>
        <v>2043</v>
      </c>
      <c r="B50" s="1054">
        <f t="shared" si="3"/>
        <v>88</v>
      </c>
      <c r="C50" s="1057">
        <f t="shared" si="3"/>
        <v>88</v>
      </c>
      <c r="D50" s="1026">
        <v>33768</v>
      </c>
      <c r="E50" s="1025">
        <v>0</v>
      </c>
      <c r="F50" s="982">
        <v>0</v>
      </c>
      <c r="G50" s="719">
        <v>2542.37</v>
      </c>
      <c r="H50" s="1026">
        <f>'Spenddown calculator'!I47</f>
        <v>1088.8538381082926</v>
      </c>
      <c r="I50" s="1025">
        <v>0</v>
      </c>
      <c r="J50" s="1026">
        <v>12758</v>
      </c>
      <c r="K50" s="1026">
        <v>4800</v>
      </c>
      <c r="L50" s="1025">
        <v>1500</v>
      </c>
      <c r="M50" s="980">
        <f t="shared" si="4"/>
        <v>51657.223838108293</v>
      </c>
      <c r="N50" s="967">
        <f>I10</f>
        <v>82500</v>
      </c>
      <c r="O50" s="977">
        <f t="shared" si="2"/>
        <v>-30842.776161891707</v>
      </c>
    </row>
    <row r="51" spans="1:16" ht="14.4">
      <c r="A51" s="119">
        <f t="shared" si="3"/>
        <v>2044</v>
      </c>
      <c r="B51" s="1053">
        <f t="shared" si="3"/>
        <v>89</v>
      </c>
      <c r="C51" s="1057">
        <f t="shared" si="3"/>
        <v>89</v>
      </c>
      <c r="D51" s="1026">
        <v>33768</v>
      </c>
      <c r="E51" s="1025">
        <v>0</v>
      </c>
      <c r="F51" s="982">
        <v>0</v>
      </c>
      <c r="G51" s="719">
        <v>2542.37</v>
      </c>
      <c r="H51" s="1026">
        <f>'Spenddown calculator'!I49</f>
        <v>977.79074662124685</v>
      </c>
      <c r="I51" s="1025">
        <v>0</v>
      </c>
      <c r="J51" s="1026">
        <v>12758</v>
      </c>
      <c r="K51" s="1026">
        <v>4800</v>
      </c>
      <c r="L51" s="1025">
        <v>1500</v>
      </c>
      <c r="M51" s="980">
        <f t="shared" si="4"/>
        <v>51546.160746621252</v>
      </c>
      <c r="N51" s="967">
        <f>I10</f>
        <v>82500</v>
      </c>
      <c r="O51" s="977">
        <f t="shared" si="2"/>
        <v>-30953.839253378748</v>
      </c>
    </row>
    <row r="52" spans="1:16" ht="14.4">
      <c r="A52" s="144">
        <f t="shared" si="3"/>
        <v>2045</v>
      </c>
      <c r="B52" s="1052">
        <f t="shared" si="3"/>
        <v>90</v>
      </c>
      <c r="C52" s="1060">
        <f t="shared" si="3"/>
        <v>90</v>
      </c>
      <c r="D52" s="1026">
        <v>33768</v>
      </c>
      <c r="E52" s="1025">
        <v>0</v>
      </c>
      <c r="F52" s="1050">
        <v>0</v>
      </c>
      <c r="G52" s="719">
        <v>2542.37</v>
      </c>
      <c r="H52" s="1026">
        <f>'Spenddown calculator'!I51</f>
        <v>878.05609046587961</v>
      </c>
      <c r="I52" s="1025">
        <v>0</v>
      </c>
      <c r="J52" s="1026">
        <v>12758</v>
      </c>
      <c r="K52" s="1026">
        <v>4800</v>
      </c>
      <c r="L52" s="1025">
        <v>1500</v>
      </c>
      <c r="M52" s="980">
        <f t="shared" si="4"/>
        <v>51446.42609046588</v>
      </c>
      <c r="N52" s="984">
        <f>I10</f>
        <v>82500</v>
      </c>
      <c r="O52" s="985">
        <f>M52-N54</f>
        <v>-31053.57390953412</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2046</v>
      </c>
      <c r="B54" s="1063">
        <f>B52+1</f>
        <v>91</v>
      </c>
      <c r="C54" s="1064">
        <f>C52+1</f>
        <v>91</v>
      </c>
      <c r="D54" s="1090">
        <v>33768</v>
      </c>
      <c r="E54" s="1025">
        <v>0</v>
      </c>
      <c r="F54" s="982">
        <v>0</v>
      </c>
      <c r="G54" s="719">
        <v>2542.37</v>
      </c>
      <c r="H54" s="1026">
        <f>'Spenddown calculator'!I53</f>
        <v>788.49436923835992</v>
      </c>
      <c r="I54" s="1025">
        <v>0</v>
      </c>
      <c r="J54" s="1026">
        <v>12758</v>
      </c>
      <c r="K54" s="1026">
        <v>4800</v>
      </c>
      <c r="L54" s="1025">
        <v>0</v>
      </c>
      <c r="M54" s="980">
        <f t="shared" si="4"/>
        <v>49856.864369238363</v>
      </c>
      <c r="N54" s="967">
        <f>I10</f>
        <v>82500</v>
      </c>
      <c r="O54" s="977">
        <f>M54-N55</f>
        <v>-32643.135630761637</v>
      </c>
    </row>
    <row r="55" spans="1:16" ht="13.1" customHeight="1">
      <c r="A55" s="137">
        <f t="shared" ref="A55:C57" si="5">A54+1</f>
        <v>2047</v>
      </c>
      <c r="B55" s="1054">
        <f t="shared" si="5"/>
        <v>92</v>
      </c>
      <c r="C55" s="1059">
        <f t="shared" si="5"/>
        <v>92</v>
      </c>
      <c r="D55" s="1090">
        <v>33768</v>
      </c>
      <c r="E55" s="1025">
        <v>0</v>
      </c>
      <c r="F55" s="982">
        <v>0</v>
      </c>
      <c r="G55" s="719">
        <v>2542.37</v>
      </c>
      <c r="H55" s="1026">
        <f>'Spenddown calculator'!I55</f>
        <v>708.06794357604713</v>
      </c>
      <c r="I55" s="1025">
        <v>0</v>
      </c>
      <c r="J55" s="1026">
        <v>12758</v>
      </c>
      <c r="K55" s="1026">
        <v>4800</v>
      </c>
      <c r="L55" s="1025">
        <v>0</v>
      </c>
      <c r="M55" s="980">
        <f t="shared" si="4"/>
        <v>49776.437943576049</v>
      </c>
      <c r="N55" s="967">
        <f>I10</f>
        <v>82500</v>
      </c>
      <c r="O55" s="977">
        <f>M55-N55</f>
        <v>-32723.562056423951</v>
      </c>
    </row>
    <row r="56" spans="1:16" ht="13.1" customHeight="1">
      <c r="A56" s="137">
        <f t="shared" si="5"/>
        <v>2048</v>
      </c>
      <c r="B56" s="1054">
        <f t="shared" si="5"/>
        <v>93</v>
      </c>
      <c r="C56" s="1059">
        <f t="shared" si="5"/>
        <v>93</v>
      </c>
      <c r="D56" s="1090">
        <v>33768</v>
      </c>
      <c r="E56" s="1025">
        <v>0</v>
      </c>
      <c r="F56" s="982">
        <v>0</v>
      </c>
      <c r="G56" s="719">
        <v>2542.37</v>
      </c>
      <c r="H56" s="1026">
        <f>'Spenddown calculator'!I57</f>
        <v>635.84501333129037</v>
      </c>
      <c r="I56" s="1025">
        <v>0</v>
      </c>
      <c r="J56" s="1026">
        <v>12758</v>
      </c>
      <c r="K56" s="1026">
        <v>4800</v>
      </c>
      <c r="L56" s="1025">
        <v>0</v>
      </c>
      <c r="M56" s="980">
        <f t="shared" si="4"/>
        <v>49704.21501333129</v>
      </c>
      <c r="N56" s="967">
        <f>I10</f>
        <v>82500</v>
      </c>
      <c r="O56" s="977">
        <f t="shared" ref="O56:O57" si="6">M56-N56</f>
        <v>-32795.78498666871</v>
      </c>
    </row>
    <row r="57" spans="1:16" ht="13.1" customHeight="1">
      <c r="A57" s="137">
        <f t="shared" si="5"/>
        <v>2049</v>
      </c>
      <c r="B57" s="1054">
        <f t="shared" si="5"/>
        <v>94</v>
      </c>
      <c r="C57" s="1059">
        <f t="shared" si="5"/>
        <v>94</v>
      </c>
      <c r="D57" s="1090">
        <v>33768</v>
      </c>
      <c r="E57" s="1025">
        <v>0</v>
      </c>
      <c r="F57" s="982">
        <v>0</v>
      </c>
      <c r="G57" s="719">
        <v>2542.37</v>
      </c>
      <c r="H57" s="1026">
        <f>'Spenddown calculator'!I59</f>
        <v>570.98882197149874</v>
      </c>
      <c r="I57" s="1025">
        <v>0</v>
      </c>
      <c r="J57" s="1026">
        <v>12758</v>
      </c>
      <c r="K57" s="1026">
        <v>4800</v>
      </c>
      <c r="L57" s="1025">
        <v>0</v>
      </c>
      <c r="M57" s="980">
        <f t="shared" si="4"/>
        <v>49639.358821971502</v>
      </c>
      <c r="N57" s="967">
        <f>I10</f>
        <v>82500</v>
      </c>
      <c r="O57" s="977">
        <f t="shared" si="6"/>
        <v>-32860.641178028498</v>
      </c>
    </row>
    <row r="58" spans="1:16" ht="12.45">
      <c r="A58" s="1917"/>
      <c r="B58" s="1917"/>
      <c r="C58" s="1917"/>
      <c r="D58" s="1917"/>
      <c r="E58" s="1917"/>
      <c r="F58" s="1917"/>
      <c r="G58" s="1917"/>
      <c r="H58" s="1917"/>
      <c r="I58" s="1917"/>
      <c r="J58" s="1917"/>
      <c r="K58" s="1917"/>
      <c r="L58" s="1917"/>
      <c r="M58" s="1917"/>
      <c r="N58" s="1917"/>
      <c r="O58" s="1918"/>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2:O62"/>
    <mergeCell ref="A47:O47"/>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63" t="s">
        <v>137</v>
      </c>
      <c r="B1" s="1564"/>
      <c r="C1" s="1564"/>
      <c r="D1" s="1565"/>
      <c r="E1" s="1085" t="s">
        <v>42</v>
      </c>
      <c r="F1" s="1566" t="s">
        <v>567</v>
      </c>
      <c r="G1" s="1567"/>
      <c r="H1" s="1568"/>
      <c r="I1" s="1085" t="s">
        <v>44</v>
      </c>
      <c r="J1" s="1569" t="s">
        <v>568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20264</v>
      </c>
      <c r="G3" s="1008">
        <v>65</v>
      </c>
      <c r="H3" s="1012" t="s">
        <v>411</v>
      </c>
      <c r="I3" s="1008">
        <v>66</v>
      </c>
      <c r="J3" s="1016">
        <f>I3-G3</f>
        <v>1</v>
      </c>
      <c r="K3" s="1033" t="s">
        <v>47</v>
      </c>
      <c r="L3" s="192"/>
      <c r="Q3" s="89"/>
    </row>
    <row r="4" spans="1:17" ht="15.05">
      <c r="C4" s="988">
        <f ca="1">TODAY()</f>
        <v>46198</v>
      </c>
      <c r="E4" s="1065" t="s">
        <v>374</v>
      </c>
      <c r="F4" s="1007">
        <v>19987</v>
      </c>
      <c r="G4" s="1008">
        <v>65</v>
      </c>
      <c r="H4" s="1065" t="s">
        <v>373</v>
      </c>
      <c r="I4" s="1008">
        <v>66</v>
      </c>
      <c r="J4" s="971">
        <f>I4-G4</f>
        <v>1</v>
      </c>
      <c r="K4" s="1065" t="s">
        <v>47</v>
      </c>
    </row>
    <row r="5" spans="1:17" s="89" customFormat="1" ht="20.3">
      <c r="B5" s="208"/>
      <c r="C5" s="970">
        <v>2020</v>
      </c>
      <c r="D5" s="192"/>
      <c r="E5" s="925"/>
      <c r="F5" s="925"/>
      <c r="G5" s="925"/>
      <c r="H5" s="192"/>
      <c r="I5" s="969"/>
      <c r="J5" s="192"/>
      <c r="K5" s="192"/>
      <c r="L5" s="969"/>
      <c r="M5" s="371"/>
      <c r="N5" s="192"/>
    </row>
    <row r="6" spans="1:17" s="89" customFormat="1" ht="17.7">
      <c r="A6" s="1788" t="s">
        <v>375</v>
      </c>
      <c r="B6" s="1789"/>
      <c r="C6" s="1790"/>
      <c r="D6" s="1009">
        <v>9166.67</v>
      </c>
      <c r="E6" s="1791" t="s">
        <v>376</v>
      </c>
      <c r="F6" s="1741"/>
      <c r="G6" s="1015">
        <f>D6*12</f>
        <v>110000.04000000001</v>
      </c>
      <c r="H6" s="968" t="s">
        <v>377</v>
      </c>
      <c r="J6" s="968" t="s">
        <v>377</v>
      </c>
      <c r="K6" s="974"/>
      <c r="N6" s="16"/>
      <c r="O6" s="16"/>
    </row>
    <row r="7" spans="1:17" s="89" customFormat="1" ht="17.7">
      <c r="A7" s="1854" t="s">
        <v>378</v>
      </c>
      <c r="B7" s="1855"/>
      <c r="C7" s="1856"/>
      <c r="D7" s="1009">
        <v>0</v>
      </c>
      <c r="E7" s="1857" t="s">
        <v>379</v>
      </c>
      <c r="F7" s="1858"/>
      <c r="G7" s="1015">
        <f>D7*12</f>
        <v>0</v>
      </c>
      <c r="H7" s="968" t="s">
        <v>519</v>
      </c>
      <c r="I7" s="1015">
        <f>D6+D7</f>
        <v>9166.67</v>
      </c>
      <c r="J7" s="968" t="s">
        <v>380</v>
      </c>
      <c r="K7" s="972">
        <f>G6+G7</f>
        <v>110000.04000000001</v>
      </c>
      <c r="O7" s="16"/>
    </row>
    <row r="10" spans="1:17" ht="17.7">
      <c r="A10" s="1524" t="s">
        <v>50</v>
      </c>
      <c r="B10" s="1524"/>
      <c r="C10" s="1524"/>
      <c r="D10" s="1524"/>
      <c r="E10" s="1010">
        <v>5500</v>
      </c>
      <c r="F10" s="965" t="s">
        <v>51</v>
      </c>
      <c r="G10" s="966">
        <f>E10*12</f>
        <v>66000</v>
      </c>
      <c r="H10" s="192"/>
      <c r="I10" s="973">
        <f>G10*1.25</f>
        <v>82500</v>
      </c>
      <c r="J10" s="1734" t="s">
        <v>52</v>
      </c>
      <c r="K10" s="1734"/>
      <c r="L10" s="1734"/>
      <c r="M10" s="1734"/>
      <c r="N10" s="1734"/>
      <c r="O10" s="16"/>
    </row>
    <row r="11" spans="1:17" s="89" customFormat="1" ht="20.3">
      <c r="B11" s="208"/>
      <c r="C11" s="970"/>
      <c r="D11" s="192"/>
      <c r="E11" s="925"/>
      <c r="F11" s="925"/>
      <c r="G11" s="925"/>
      <c r="H11" s="192"/>
      <c r="I11" s="969"/>
      <c r="J11" s="192"/>
      <c r="K11" s="192"/>
      <c r="L11" s="969"/>
      <c r="M11" s="371"/>
      <c r="N11" s="192"/>
    </row>
    <row r="12" spans="1:17" ht="18" customHeight="1">
      <c r="A12" s="1742" t="s">
        <v>383</v>
      </c>
      <c r="B12" s="1743"/>
      <c r="C12" s="1744"/>
      <c r="D12" s="1010">
        <v>2814</v>
      </c>
      <c r="E12" s="1013" t="s">
        <v>12</v>
      </c>
      <c r="F12" s="1011">
        <v>66</v>
      </c>
      <c r="G12" s="1745" t="s">
        <v>54</v>
      </c>
      <c r="H12" s="1746"/>
      <c r="I12" s="1021">
        <f>D12*12</f>
        <v>33768</v>
      </c>
      <c r="J12" s="1553" t="s">
        <v>55</v>
      </c>
      <c r="K12" s="1553"/>
      <c r="L12" s="1553"/>
      <c r="M12" s="1553"/>
      <c r="N12" s="1553"/>
      <c r="O12" s="1553"/>
    </row>
    <row r="13" spans="1:17" ht="17.7">
      <c r="A13" s="1866" t="s">
        <v>521</v>
      </c>
      <c r="B13" s="1867"/>
      <c r="C13" s="1868"/>
      <c r="D13" s="1010">
        <v>1199</v>
      </c>
      <c r="E13" s="1066" t="s">
        <v>12</v>
      </c>
      <c r="F13" s="1011">
        <v>66</v>
      </c>
      <c r="G13" s="1869" t="s">
        <v>54</v>
      </c>
      <c r="H13" s="1870"/>
      <c r="I13" s="973">
        <f>D13*12</f>
        <v>14388</v>
      </c>
      <c r="J13" s="1552"/>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954" t="s">
        <v>578</v>
      </c>
      <c r="B15" s="1954"/>
      <c r="C15" s="1954"/>
      <c r="D15" s="1954"/>
      <c r="E15" s="1954"/>
      <c r="F15" s="1954"/>
      <c r="G15" s="1954"/>
      <c r="H15" s="1954"/>
      <c r="I15" s="1954"/>
      <c r="J15" s="1954"/>
      <c r="K15" s="1954"/>
      <c r="L15" s="1954"/>
      <c r="M15" s="1954"/>
      <c r="N15" s="1954"/>
      <c r="O15" s="1955"/>
    </row>
    <row r="16" spans="1:17"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086"/>
      <c r="B17" s="1086"/>
      <c r="C17" s="1086"/>
      <c r="D17" s="1027" t="s">
        <v>413</v>
      </c>
      <c r="E17" s="1046" t="s">
        <v>524</v>
      </c>
      <c r="F17" s="1097"/>
      <c r="G17" s="1091" t="s">
        <v>579</v>
      </c>
      <c r="H17" s="374" t="s">
        <v>580</v>
      </c>
      <c r="I17" s="1046" t="s">
        <v>563</v>
      </c>
      <c r="J17" s="374" t="s">
        <v>564</v>
      </c>
      <c r="K17" s="374" t="s">
        <v>565</v>
      </c>
      <c r="L17" s="1046" t="s">
        <v>575</v>
      </c>
      <c r="M17" s="1067" t="s">
        <v>65</v>
      </c>
      <c r="N17" s="1014" t="s">
        <v>66</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953"/>
      <c r="B19" s="1953"/>
      <c r="C19" s="1953"/>
      <c r="D19" s="1005"/>
      <c r="E19" s="1006"/>
      <c r="F19" s="1087"/>
      <c r="G19" s="1087"/>
      <c r="H19" s="1101" t="s">
        <v>576</v>
      </c>
      <c r="I19" s="1098">
        <v>0.75</v>
      </c>
      <c r="J19" s="1101">
        <v>1</v>
      </c>
      <c r="K19" s="1101">
        <v>1</v>
      </c>
      <c r="L19" s="1098">
        <v>0</v>
      </c>
      <c r="M19" s="992"/>
      <c r="N19" s="992"/>
      <c r="O19" s="993"/>
    </row>
    <row r="20" spans="1:23">
      <c r="A20" s="1949"/>
      <c r="B20" s="1949"/>
      <c r="C20" s="1950"/>
      <c r="D20" s="976">
        <f>F12</f>
        <v>66</v>
      </c>
      <c r="E20" s="976">
        <f>F13</f>
        <v>66</v>
      </c>
      <c r="F20" s="1004"/>
      <c r="G20" s="1004">
        <f>I4</f>
        <v>66</v>
      </c>
      <c r="H20" s="1104">
        <v>65</v>
      </c>
      <c r="I20" s="1099">
        <v>65</v>
      </c>
      <c r="J20" s="1102">
        <v>66</v>
      </c>
      <c r="K20" s="1102">
        <v>0</v>
      </c>
      <c r="L20" s="1099">
        <v>65</v>
      </c>
      <c r="M20" s="990"/>
      <c r="N20" s="989"/>
      <c r="O20" s="994"/>
    </row>
    <row r="21" spans="1:23" ht="16.05" customHeight="1">
      <c r="A21" s="1749" t="s">
        <v>26</v>
      </c>
      <c r="B21" s="1813" t="s">
        <v>390</v>
      </c>
      <c r="C21" s="1862" t="s">
        <v>58</v>
      </c>
      <c r="D21" s="975">
        <f>I12</f>
        <v>33768</v>
      </c>
      <c r="E21" s="975">
        <f>I13</f>
        <v>14388</v>
      </c>
      <c r="F21" s="986"/>
      <c r="G21" s="986">
        <v>64000</v>
      </c>
      <c r="H21" s="1103">
        <v>100000</v>
      </c>
      <c r="I21" s="1100">
        <v>2076</v>
      </c>
      <c r="J21" s="1103">
        <v>12756</v>
      </c>
      <c r="K21" s="1103">
        <v>4800</v>
      </c>
      <c r="L21" s="1100">
        <v>1500</v>
      </c>
      <c r="M21" s="990"/>
      <c r="N21" s="989"/>
      <c r="O21" s="994"/>
    </row>
    <row r="22" spans="1:23" ht="16.05" customHeight="1">
      <c r="A22" s="1750"/>
      <c r="B22" s="1814"/>
      <c r="C22" s="1863"/>
      <c r="D22" s="1951"/>
      <c r="E22" s="1951"/>
      <c r="F22" s="1951"/>
      <c r="G22" s="1951"/>
      <c r="H22" s="1951"/>
      <c r="I22" s="1951"/>
      <c r="J22" s="1951"/>
      <c r="K22" s="1951"/>
      <c r="L22" s="1952"/>
      <c r="M22" s="991"/>
      <c r="N22" s="208"/>
      <c r="O22" s="995"/>
    </row>
    <row r="23" spans="1:23" ht="14.4">
      <c r="A23" s="979" t="s">
        <v>68</v>
      </c>
      <c r="B23" s="1051">
        <f>G3</f>
        <v>65</v>
      </c>
      <c r="C23" s="1057">
        <f>G4</f>
        <v>65</v>
      </c>
      <c r="D23" s="982">
        <v>0</v>
      </c>
      <c r="E23" s="982">
        <v>0</v>
      </c>
      <c r="F23" s="982">
        <v>0</v>
      </c>
      <c r="G23" s="982">
        <v>0</v>
      </c>
      <c r="H23" s="982">
        <v>0</v>
      </c>
      <c r="I23" s="1025">
        <v>2076</v>
      </c>
      <c r="J23" s="982">
        <v>0</v>
      </c>
      <c r="K23" s="982">
        <v>0</v>
      </c>
      <c r="L23" s="982">
        <v>0</v>
      </c>
      <c r="M23" s="980">
        <f>D23+E23+F23+G23+H23+I23+J23+K23+L23</f>
        <v>2076</v>
      </c>
      <c r="N23" s="967">
        <f>I10</f>
        <v>82500</v>
      </c>
      <c r="O23" s="977">
        <f>M23-N24</f>
        <v>-80424</v>
      </c>
    </row>
    <row r="24" spans="1:23" ht="14.4">
      <c r="A24" s="119">
        <f t="shared" ref="A24:C39" si="0">A23+1</f>
        <v>2021</v>
      </c>
      <c r="B24" s="1052">
        <f t="shared" si="0"/>
        <v>66</v>
      </c>
      <c r="C24" s="1058">
        <f t="shared" si="0"/>
        <v>66</v>
      </c>
      <c r="D24" s="1026">
        <v>33768</v>
      </c>
      <c r="E24" s="1025">
        <v>14388</v>
      </c>
      <c r="F24" s="982">
        <v>0</v>
      </c>
      <c r="G24" s="719">
        <v>2861.89</v>
      </c>
      <c r="H24" s="1026">
        <f>'Spenddown calculator'!I5</f>
        <v>10200</v>
      </c>
      <c r="I24" s="1025">
        <v>2076</v>
      </c>
      <c r="J24" s="1026">
        <v>12756</v>
      </c>
      <c r="K24" s="1026">
        <v>4800</v>
      </c>
      <c r="L24" s="1025">
        <v>1500</v>
      </c>
      <c r="M24" s="980">
        <f t="shared" ref="M24:M40" si="1">D24+E24+F24+G24+H24+I24+J24+K24+L24</f>
        <v>82349.89</v>
      </c>
      <c r="N24" s="967">
        <f>I10</f>
        <v>82500</v>
      </c>
      <c r="O24" s="977">
        <f t="shared" ref="O24:O51" si="2">M24-N25</f>
        <v>-150.11000000000058</v>
      </c>
    </row>
    <row r="25" spans="1:23" ht="14.4">
      <c r="A25" s="155">
        <f t="shared" si="0"/>
        <v>2022</v>
      </c>
      <c r="B25" s="1053">
        <f t="shared" si="0"/>
        <v>67</v>
      </c>
      <c r="C25" s="1057">
        <f t="shared" si="0"/>
        <v>67</v>
      </c>
      <c r="D25" s="1026">
        <v>33768</v>
      </c>
      <c r="E25" s="1025">
        <v>14388</v>
      </c>
      <c r="F25" s="982">
        <v>0</v>
      </c>
      <c r="G25" s="719">
        <v>2861.89</v>
      </c>
      <c r="H25" s="1026">
        <f>'Spenddown calculator'!I7</f>
        <v>9363.6</v>
      </c>
      <c r="I25" s="1025">
        <v>2076</v>
      </c>
      <c r="J25" s="1026">
        <v>12756</v>
      </c>
      <c r="K25" s="1026">
        <v>4800</v>
      </c>
      <c r="L25" s="1025">
        <v>1500</v>
      </c>
      <c r="M25" s="980">
        <f t="shared" si="1"/>
        <v>81513.489999999991</v>
      </c>
      <c r="N25" s="967">
        <f>I10</f>
        <v>82500</v>
      </c>
      <c r="O25" s="977">
        <f t="shared" si="2"/>
        <v>-986.51000000000931</v>
      </c>
    </row>
    <row r="26" spans="1:23" ht="14.4">
      <c r="A26" s="119">
        <f t="shared" si="0"/>
        <v>2023</v>
      </c>
      <c r="B26" s="1054">
        <f t="shared" si="0"/>
        <v>68</v>
      </c>
      <c r="C26" s="1059">
        <f t="shared" si="0"/>
        <v>68</v>
      </c>
      <c r="D26" s="1026">
        <v>33768</v>
      </c>
      <c r="E26" s="1025">
        <v>14388</v>
      </c>
      <c r="F26" s="982">
        <v>0</v>
      </c>
      <c r="G26" s="719">
        <v>2861.89</v>
      </c>
      <c r="H26" s="1026">
        <f>'Spenddown calculator'!I9</f>
        <v>8408.5128000000004</v>
      </c>
      <c r="I26" s="1025">
        <v>2076</v>
      </c>
      <c r="J26" s="1026">
        <v>12756</v>
      </c>
      <c r="K26" s="1026">
        <v>4800</v>
      </c>
      <c r="L26" s="1025">
        <v>1500</v>
      </c>
      <c r="M26" s="980">
        <f t="shared" si="1"/>
        <v>80558.402799999996</v>
      </c>
      <c r="N26" s="967">
        <f>I10</f>
        <v>82500</v>
      </c>
      <c r="O26" s="977">
        <f t="shared" si="2"/>
        <v>-1941.5972000000038</v>
      </c>
    </row>
    <row r="27" spans="1:23" ht="14.4">
      <c r="A27" s="119">
        <f t="shared" si="0"/>
        <v>2024</v>
      </c>
      <c r="B27" s="1053">
        <f t="shared" si="0"/>
        <v>69</v>
      </c>
      <c r="C27" s="1057">
        <f t="shared" si="0"/>
        <v>69</v>
      </c>
      <c r="D27" s="1026">
        <v>33768</v>
      </c>
      <c r="E27" s="1025">
        <v>14388</v>
      </c>
      <c r="F27" s="982">
        <v>0</v>
      </c>
      <c r="G27" s="719">
        <v>2861.89</v>
      </c>
      <c r="H27" s="1026">
        <f>'Spenddown calculator'!I11</f>
        <v>7550.8444944000003</v>
      </c>
      <c r="I27" s="1025">
        <v>2076</v>
      </c>
      <c r="J27" s="1026">
        <v>12756</v>
      </c>
      <c r="K27" s="1026">
        <v>4800</v>
      </c>
      <c r="L27" s="1025">
        <v>1500</v>
      </c>
      <c r="M27" s="980">
        <f t="shared" si="1"/>
        <v>79700.734494400007</v>
      </c>
      <c r="N27" s="967">
        <f>I10</f>
        <v>82500</v>
      </c>
      <c r="O27" s="977">
        <f t="shared" si="2"/>
        <v>-2799.265505599993</v>
      </c>
    </row>
    <row r="28" spans="1:23" ht="14.4">
      <c r="A28" s="119">
        <f t="shared" si="0"/>
        <v>2025</v>
      </c>
      <c r="B28" s="1052">
        <f t="shared" si="0"/>
        <v>70</v>
      </c>
      <c r="C28" s="1060">
        <f t="shared" si="0"/>
        <v>70</v>
      </c>
      <c r="D28" s="1026">
        <v>33768</v>
      </c>
      <c r="E28" s="1025">
        <v>14388</v>
      </c>
      <c r="F28" s="982">
        <v>0</v>
      </c>
      <c r="G28" s="719">
        <v>2861.89</v>
      </c>
      <c r="H28" s="1026">
        <f>'Spenddown calculator'!I13</f>
        <v>6780.6583559712008</v>
      </c>
      <c r="I28" s="1025">
        <v>2076</v>
      </c>
      <c r="J28" s="1026">
        <v>12756</v>
      </c>
      <c r="K28" s="1026">
        <v>4800</v>
      </c>
      <c r="L28" s="1025">
        <v>1500</v>
      </c>
      <c r="M28" s="980">
        <f t="shared" si="1"/>
        <v>78930.548355971201</v>
      </c>
      <c r="N28" s="967">
        <f>I10</f>
        <v>82500</v>
      </c>
      <c r="O28" s="977">
        <f t="shared" si="2"/>
        <v>-3569.4516440287989</v>
      </c>
    </row>
    <row r="29" spans="1:23" ht="14.4">
      <c r="A29" s="155">
        <f t="shared" si="0"/>
        <v>2026</v>
      </c>
      <c r="B29" s="1053">
        <f t="shared" si="0"/>
        <v>71</v>
      </c>
      <c r="C29" s="1057">
        <f t="shared" si="0"/>
        <v>71</v>
      </c>
      <c r="D29" s="1026">
        <v>33768</v>
      </c>
      <c r="E29" s="1025">
        <v>14388</v>
      </c>
      <c r="F29" s="982">
        <v>0</v>
      </c>
      <c r="G29" s="719">
        <v>2861.89</v>
      </c>
      <c r="H29" s="1026">
        <f>'Spenddown calculator'!I15</f>
        <v>6089.0312036621381</v>
      </c>
      <c r="I29" s="1025">
        <v>2076</v>
      </c>
      <c r="J29" s="1026">
        <v>12756</v>
      </c>
      <c r="K29" s="1026">
        <v>4800</v>
      </c>
      <c r="L29" s="1025">
        <v>1500</v>
      </c>
      <c r="M29" s="980">
        <f t="shared" si="1"/>
        <v>78238.921203662147</v>
      </c>
      <c r="N29" s="967">
        <f>I10</f>
        <v>82500</v>
      </c>
      <c r="O29" s="977">
        <f t="shared" si="2"/>
        <v>-4261.0787963378534</v>
      </c>
    </row>
    <row r="30" spans="1:23" ht="14.4">
      <c r="A30" s="119">
        <f t="shared" si="0"/>
        <v>2027</v>
      </c>
      <c r="B30" s="1054">
        <f t="shared" si="0"/>
        <v>72</v>
      </c>
      <c r="C30" s="1059">
        <f t="shared" si="0"/>
        <v>72</v>
      </c>
      <c r="D30" s="1026">
        <v>33768</v>
      </c>
      <c r="E30" s="1025">
        <v>14388</v>
      </c>
      <c r="F30" s="982">
        <v>0</v>
      </c>
      <c r="G30" s="719">
        <v>2861.89</v>
      </c>
      <c r="H30" s="1026">
        <f>'Spenddown calculator'!I17</f>
        <v>5467.9500208886002</v>
      </c>
      <c r="I30" s="1025">
        <v>2076</v>
      </c>
      <c r="J30" s="1026">
        <v>12756</v>
      </c>
      <c r="K30" s="1026">
        <v>4800</v>
      </c>
      <c r="L30" s="1025">
        <v>1500</v>
      </c>
      <c r="M30" s="980">
        <f t="shared" si="1"/>
        <v>77617.840020888601</v>
      </c>
      <c r="N30" s="967">
        <f>I10</f>
        <v>82500</v>
      </c>
      <c r="O30" s="977">
        <f t="shared" si="2"/>
        <v>-4882.1599791113986</v>
      </c>
    </row>
    <row r="31" spans="1:23" ht="14.4">
      <c r="A31" s="119">
        <f t="shared" si="0"/>
        <v>2028</v>
      </c>
      <c r="B31" s="1053">
        <f t="shared" si="0"/>
        <v>73</v>
      </c>
      <c r="C31" s="1057">
        <f t="shared" si="0"/>
        <v>73</v>
      </c>
      <c r="D31" s="1026">
        <v>33768</v>
      </c>
      <c r="E31" s="1025">
        <v>14388</v>
      </c>
      <c r="F31" s="982">
        <v>0</v>
      </c>
      <c r="G31" s="719">
        <v>2861.89</v>
      </c>
      <c r="H31" s="1026">
        <f>'Spenddown calculator'!I19</f>
        <v>4910.219118757962</v>
      </c>
      <c r="I31" s="1025">
        <v>2076</v>
      </c>
      <c r="J31" s="1026">
        <v>12756</v>
      </c>
      <c r="K31" s="1026">
        <v>4800</v>
      </c>
      <c r="L31" s="1025">
        <v>1500</v>
      </c>
      <c r="M31" s="980">
        <f t="shared" si="1"/>
        <v>77060.109118757959</v>
      </c>
      <c r="N31" s="967">
        <f>I10</f>
        <v>82500</v>
      </c>
      <c r="O31" s="977">
        <f t="shared" si="2"/>
        <v>-5439.8908812420414</v>
      </c>
    </row>
    <row r="32" spans="1:23" ht="14.4">
      <c r="A32" s="119">
        <f t="shared" si="0"/>
        <v>2029</v>
      </c>
      <c r="B32" s="1053">
        <f t="shared" si="0"/>
        <v>74</v>
      </c>
      <c r="C32" s="1057">
        <f t="shared" si="0"/>
        <v>74</v>
      </c>
      <c r="D32" s="1026">
        <v>33768</v>
      </c>
      <c r="E32" s="1025">
        <v>14388</v>
      </c>
      <c r="F32" s="982">
        <v>0</v>
      </c>
      <c r="G32" s="719">
        <v>2861.89</v>
      </c>
      <c r="H32" s="1026">
        <f>'Spenddown calculator'!I21</f>
        <v>4409.3767686446508</v>
      </c>
      <c r="I32" s="1025">
        <v>2076</v>
      </c>
      <c r="J32" s="1026">
        <v>12756</v>
      </c>
      <c r="K32" s="1026">
        <v>4800</v>
      </c>
      <c r="L32" s="1025">
        <v>1500</v>
      </c>
      <c r="M32" s="980">
        <f t="shared" si="1"/>
        <v>76559.266768644651</v>
      </c>
      <c r="N32" s="967">
        <f>I10</f>
        <v>82500</v>
      </c>
      <c r="O32" s="977">
        <f t="shared" si="2"/>
        <v>-5940.7332313553488</v>
      </c>
    </row>
    <row r="33" spans="1:15" ht="14.4">
      <c r="A33" s="119">
        <f t="shared" si="0"/>
        <v>2030</v>
      </c>
      <c r="B33" s="1053">
        <f t="shared" si="0"/>
        <v>75</v>
      </c>
      <c r="C33" s="1057">
        <f t="shared" si="0"/>
        <v>75</v>
      </c>
      <c r="D33" s="1026">
        <v>33768</v>
      </c>
      <c r="E33" s="1025">
        <v>14388</v>
      </c>
      <c r="F33" s="982">
        <v>0</v>
      </c>
      <c r="G33" s="719">
        <v>2861.89</v>
      </c>
      <c r="H33" s="1026">
        <f>'Spenddown calculator'!I23</f>
        <v>3959.6203382428962</v>
      </c>
      <c r="I33" s="1025">
        <v>2076</v>
      </c>
      <c r="J33" s="1026">
        <v>12756</v>
      </c>
      <c r="K33" s="1026">
        <v>4800</v>
      </c>
      <c r="L33" s="1025">
        <v>1500</v>
      </c>
      <c r="M33" s="980">
        <f t="shared" si="1"/>
        <v>76109.510338242893</v>
      </c>
      <c r="N33" s="967">
        <f>I10</f>
        <v>82500</v>
      </c>
      <c r="O33" s="977">
        <f t="shared" si="2"/>
        <v>-6390.4896617571067</v>
      </c>
    </row>
    <row r="34" spans="1:15" ht="14.4">
      <c r="A34" s="119">
        <f t="shared" si="0"/>
        <v>2031</v>
      </c>
      <c r="B34" s="1053">
        <f t="shared" si="0"/>
        <v>76</v>
      </c>
      <c r="C34" s="1057">
        <f t="shared" si="0"/>
        <v>76</v>
      </c>
      <c r="D34" s="1026">
        <v>33768</v>
      </c>
      <c r="E34" s="1025">
        <v>14388</v>
      </c>
      <c r="F34" s="982">
        <v>0</v>
      </c>
      <c r="G34" s="719">
        <v>2861.89</v>
      </c>
      <c r="H34" s="1026">
        <f>'Spenddown calculator'!I25</f>
        <v>3555.7390637421213</v>
      </c>
      <c r="I34" s="982">
        <v>0</v>
      </c>
      <c r="J34" s="1026">
        <v>12756</v>
      </c>
      <c r="K34" s="1026">
        <v>4800</v>
      </c>
      <c r="L34" s="1025">
        <v>1500</v>
      </c>
      <c r="M34" s="980">
        <f t="shared" si="1"/>
        <v>73629.629063742119</v>
      </c>
      <c r="N34" s="967">
        <f>I10</f>
        <v>82500</v>
      </c>
      <c r="O34" s="977">
        <f t="shared" si="2"/>
        <v>-8870.3709362578811</v>
      </c>
    </row>
    <row r="35" spans="1:15" ht="14.4">
      <c r="A35" s="119">
        <f t="shared" si="0"/>
        <v>2032</v>
      </c>
      <c r="B35" s="1053">
        <f t="shared" si="0"/>
        <v>77</v>
      </c>
      <c r="C35" s="1057">
        <f t="shared" si="0"/>
        <v>77</v>
      </c>
      <c r="D35" s="1026">
        <v>33768</v>
      </c>
      <c r="E35" s="1025">
        <v>14388</v>
      </c>
      <c r="F35" s="982">
        <v>0</v>
      </c>
      <c r="G35" s="719">
        <v>2861.89</v>
      </c>
      <c r="H35" s="1026">
        <f>'Spenddown calculator'!I27</f>
        <v>3193.0536792404246</v>
      </c>
      <c r="I35" s="982">
        <v>0</v>
      </c>
      <c r="J35" s="1026">
        <v>12756</v>
      </c>
      <c r="K35" s="1026">
        <v>4800</v>
      </c>
      <c r="L35" s="1025">
        <v>1500</v>
      </c>
      <c r="M35" s="980">
        <f t="shared" si="1"/>
        <v>73266.943679240416</v>
      </c>
      <c r="N35" s="967">
        <f>I10</f>
        <v>82500</v>
      </c>
      <c r="O35" s="977">
        <f t="shared" si="2"/>
        <v>-9233.0563207595842</v>
      </c>
    </row>
    <row r="36" spans="1:15" ht="14.4">
      <c r="A36" s="119">
        <f t="shared" si="0"/>
        <v>2033</v>
      </c>
      <c r="B36" s="1053">
        <f t="shared" si="0"/>
        <v>78</v>
      </c>
      <c r="C36" s="1057">
        <f t="shared" si="0"/>
        <v>78</v>
      </c>
      <c r="D36" s="1026">
        <v>33768</v>
      </c>
      <c r="E36" s="1025">
        <v>14388</v>
      </c>
      <c r="F36" s="982">
        <v>0</v>
      </c>
      <c r="G36" s="719">
        <v>2861.89</v>
      </c>
      <c r="H36" s="1026">
        <f>'Spenddown calculator'!I29</f>
        <v>2867.3622039579013</v>
      </c>
      <c r="I36" s="982">
        <v>0</v>
      </c>
      <c r="J36" s="1026">
        <v>12756</v>
      </c>
      <c r="K36" s="1026">
        <v>4800</v>
      </c>
      <c r="L36" s="1025">
        <v>1500</v>
      </c>
      <c r="M36" s="980">
        <f t="shared" si="1"/>
        <v>72941.252203957905</v>
      </c>
      <c r="N36" s="967">
        <f>I10</f>
        <v>82500</v>
      </c>
      <c r="O36" s="977">
        <f t="shared" si="2"/>
        <v>-9558.7477960420947</v>
      </c>
    </row>
    <row r="37" spans="1:15" ht="14.4">
      <c r="A37" s="119">
        <f t="shared" si="0"/>
        <v>2034</v>
      </c>
      <c r="B37" s="1053">
        <f t="shared" si="0"/>
        <v>79</v>
      </c>
      <c r="C37" s="1057">
        <f t="shared" si="0"/>
        <v>79</v>
      </c>
      <c r="D37" s="1026">
        <v>33768</v>
      </c>
      <c r="E37" s="1025">
        <v>14388</v>
      </c>
      <c r="F37" s="982">
        <v>0</v>
      </c>
      <c r="G37" s="719">
        <v>2861.89</v>
      </c>
      <c r="H37" s="1026">
        <f>'Spenddown calculator'!I31</f>
        <v>2574.8912591541957</v>
      </c>
      <c r="I37" s="982">
        <v>0</v>
      </c>
      <c r="J37" s="1026">
        <v>12756</v>
      </c>
      <c r="K37" s="1026">
        <v>4800</v>
      </c>
      <c r="L37" s="1025">
        <v>1500</v>
      </c>
      <c r="M37" s="980">
        <f t="shared" si="1"/>
        <v>72648.781259154202</v>
      </c>
      <c r="N37" s="967">
        <f>I10</f>
        <v>82500</v>
      </c>
      <c r="O37" s="977">
        <f t="shared" si="2"/>
        <v>-9851.2187408457976</v>
      </c>
    </row>
    <row r="38" spans="1:15" ht="14.4">
      <c r="A38" s="155">
        <f t="shared" si="0"/>
        <v>2035</v>
      </c>
      <c r="B38" s="1053">
        <f t="shared" si="0"/>
        <v>80</v>
      </c>
      <c r="C38" s="1061">
        <f t="shared" si="0"/>
        <v>80</v>
      </c>
      <c r="D38" s="1026">
        <v>33768</v>
      </c>
      <c r="E38" s="1025">
        <v>14388</v>
      </c>
      <c r="F38" s="982">
        <v>0</v>
      </c>
      <c r="G38" s="719">
        <v>2861.89</v>
      </c>
      <c r="H38" s="1026">
        <f>'Spenddown calculator'!I33</f>
        <v>2312.2523507204673</v>
      </c>
      <c r="I38" s="982">
        <v>0</v>
      </c>
      <c r="J38" s="1026">
        <v>12756</v>
      </c>
      <c r="K38" s="1026">
        <v>4800</v>
      </c>
      <c r="L38" s="1025">
        <v>1500</v>
      </c>
      <c r="M38" s="980">
        <f t="shared" si="1"/>
        <v>72386.142350720474</v>
      </c>
      <c r="N38" s="967">
        <f>I10</f>
        <v>82500</v>
      </c>
      <c r="O38" s="977">
        <f t="shared" si="2"/>
        <v>-10113.857649279526</v>
      </c>
    </row>
    <row r="39" spans="1:15" ht="14.4">
      <c r="A39" s="119">
        <f t="shared" si="0"/>
        <v>2036</v>
      </c>
      <c r="B39" s="1054">
        <f t="shared" si="0"/>
        <v>81</v>
      </c>
      <c r="C39" s="1057">
        <f t="shared" si="0"/>
        <v>81</v>
      </c>
      <c r="D39" s="1026">
        <v>33768</v>
      </c>
      <c r="E39" s="1025">
        <v>14388</v>
      </c>
      <c r="F39" s="982">
        <v>0</v>
      </c>
      <c r="G39" s="719">
        <v>2861.89</v>
      </c>
      <c r="H39" s="1026">
        <f>'Spenddown calculator'!I35</f>
        <v>2076.4026109469796</v>
      </c>
      <c r="I39" s="982">
        <v>0</v>
      </c>
      <c r="J39" s="1026">
        <v>12756</v>
      </c>
      <c r="K39" s="1026">
        <v>4800</v>
      </c>
      <c r="L39" s="1025">
        <v>1500</v>
      </c>
      <c r="M39" s="980">
        <f t="shared" si="1"/>
        <v>72150.292610946984</v>
      </c>
      <c r="N39" s="967">
        <f>I10</f>
        <v>82500</v>
      </c>
      <c r="O39" s="977">
        <f t="shared" si="2"/>
        <v>-10349.707389053016</v>
      </c>
    </row>
    <row r="40" spans="1:15" ht="14.4">
      <c r="A40" s="119">
        <f t="shared" ref="A40:C52" si="3">A39+1</f>
        <v>2037</v>
      </c>
      <c r="B40" s="1053">
        <f t="shared" si="3"/>
        <v>82</v>
      </c>
      <c r="C40" s="1057">
        <f t="shared" si="3"/>
        <v>82</v>
      </c>
      <c r="D40" s="1026">
        <v>33768</v>
      </c>
      <c r="E40" s="1025">
        <v>14388</v>
      </c>
      <c r="F40" s="982">
        <v>0</v>
      </c>
      <c r="G40" s="719">
        <v>2861.89</v>
      </c>
      <c r="H40" s="1026">
        <f>'Spenddown calculator'!I37</f>
        <v>1864.6095446303877</v>
      </c>
      <c r="I40" s="982">
        <v>0</v>
      </c>
      <c r="J40" s="1026">
        <v>12756</v>
      </c>
      <c r="K40" s="1026">
        <v>4800</v>
      </c>
      <c r="L40" s="1025">
        <v>1500</v>
      </c>
      <c r="M40" s="980">
        <f t="shared" si="1"/>
        <v>71938.49954463038</v>
      </c>
      <c r="N40" s="967">
        <f>I10</f>
        <v>82500</v>
      </c>
      <c r="O40" s="977">
        <f>M40-N41</f>
        <v>-10561.50045536962</v>
      </c>
    </row>
    <row r="41" spans="1:15" ht="14.4">
      <c r="A41" s="119">
        <f>A40+1</f>
        <v>2038</v>
      </c>
      <c r="B41" s="1053">
        <f>B40+1</f>
        <v>83</v>
      </c>
      <c r="C41" s="1057">
        <f>C40+1</f>
        <v>83</v>
      </c>
      <c r="D41" s="1026">
        <v>33768</v>
      </c>
      <c r="E41" s="1025">
        <v>14388</v>
      </c>
      <c r="F41" s="982">
        <v>0</v>
      </c>
      <c r="G41" s="719">
        <v>2861.89</v>
      </c>
      <c r="H41" s="1026">
        <f>'Spenddown calculator'!I39</f>
        <v>1674.4193710780883</v>
      </c>
      <c r="I41" s="982">
        <v>0</v>
      </c>
      <c r="J41" s="1026">
        <v>12756</v>
      </c>
      <c r="K41" s="1026">
        <v>4800</v>
      </c>
      <c r="L41" s="1025">
        <v>1500</v>
      </c>
      <c r="M41" s="981">
        <f t="shared" ref="M41:M57" si="4">SUM(D41+E41+F41+G41+H41+I41+J41+L41)</f>
        <v>66948.309371078096</v>
      </c>
      <c r="N41" s="967">
        <f>I10</f>
        <v>82500</v>
      </c>
      <c r="O41" s="977">
        <f t="shared" si="2"/>
        <v>-15551.690628921904</v>
      </c>
    </row>
    <row r="42" spans="1:15" ht="14.4">
      <c r="A42" s="119">
        <f t="shared" si="3"/>
        <v>2039</v>
      </c>
      <c r="B42" s="1053">
        <f t="shared" si="3"/>
        <v>84</v>
      </c>
      <c r="C42" s="1057">
        <f t="shared" si="3"/>
        <v>84</v>
      </c>
      <c r="D42" s="1026">
        <v>33768</v>
      </c>
      <c r="E42" s="1025">
        <v>14388</v>
      </c>
      <c r="F42" s="982">
        <v>0</v>
      </c>
      <c r="G42" s="719">
        <v>2861.89</v>
      </c>
      <c r="H42" s="1026">
        <f>'Spenddown calculator'!I41</f>
        <v>1503.628595228123</v>
      </c>
      <c r="I42" s="982">
        <v>0</v>
      </c>
      <c r="J42" s="1026">
        <v>12756</v>
      </c>
      <c r="K42" s="1026">
        <v>4800</v>
      </c>
      <c r="L42" s="1025">
        <v>1500</v>
      </c>
      <c r="M42" s="982">
        <f t="shared" si="4"/>
        <v>66777.518595228117</v>
      </c>
      <c r="N42" s="967">
        <f>I10</f>
        <v>82500</v>
      </c>
      <c r="O42" s="977">
        <f t="shared" si="2"/>
        <v>-15722.481404771883</v>
      </c>
    </row>
    <row r="43" spans="1:15" ht="14.4">
      <c r="A43" s="119">
        <f t="shared" si="3"/>
        <v>2040</v>
      </c>
      <c r="B43" s="1053">
        <f t="shared" si="3"/>
        <v>85</v>
      </c>
      <c r="C43" s="1057">
        <f t="shared" si="3"/>
        <v>85</v>
      </c>
      <c r="D43" s="1026">
        <v>33768</v>
      </c>
      <c r="E43" s="1025">
        <v>14388</v>
      </c>
      <c r="F43" s="982">
        <v>0</v>
      </c>
      <c r="G43" s="719">
        <v>2861.89</v>
      </c>
      <c r="H43" s="1026">
        <f>'Spenddown calculator'!I43</f>
        <v>1350.2584785148545</v>
      </c>
      <c r="I43" s="982">
        <v>0</v>
      </c>
      <c r="J43" s="1026">
        <v>12756</v>
      </c>
      <c r="K43" s="1026">
        <v>4800</v>
      </c>
      <c r="L43" s="1025">
        <v>1500</v>
      </c>
      <c r="M43" s="980">
        <f t="shared" si="4"/>
        <v>66624.148478514864</v>
      </c>
      <c r="N43" s="967">
        <f>I10</f>
        <v>82500</v>
      </c>
      <c r="O43" s="977">
        <f t="shared" si="2"/>
        <v>-15875.851521485136</v>
      </c>
    </row>
    <row r="44" spans="1:15" ht="14.4">
      <c r="A44" s="119">
        <f t="shared" si="3"/>
        <v>2041</v>
      </c>
      <c r="B44" s="1053">
        <f t="shared" si="3"/>
        <v>86</v>
      </c>
      <c r="C44" s="1057">
        <f t="shared" si="3"/>
        <v>86</v>
      </c>
      <c r="D44" s="1026">
        <v>33768</v>
      </c>
      <c r="E44" s="1025">
        <v>14388</v>
      </c>
      <c r="F44" s="982">
        <v>0</v>
      </c>
      <c r="G44" s="719">
        <v>2861.89</v>
      </c>
      <c r="H44" s="1026">
        <f>'Spenddown calculator'!I45</f>
        <v>1212.532113706339</v>
      </c>
      <c r="I44" s="982">
        <v>0</v>
      </c>
      <c r="J44" s="1026">
        <v>12756</v>
      </c>
      <c r="K44" s="1026">
        <v>4800</v>
      </c>
      <c r="L44" s="1025">
        <v>1500</v>
      </c>
      <c r="M44" s="980">
        <f t="shared" si="4"/>
        <v>66486.422113706329</v>
      </c>
      <c r="N44" s="967">
        <f>I10</f>
        <v>82500</v>
      </c>
      <c r="O44" s="977">
        <f>M44-N49</f>
        <v>-16013.577886293671</v>
      </c>
    </row>
    <row r="45" spans="1:15" ht="12.45">
      <c r="A45" s="1956"/>
      <c r="B45" s="1957"/>
      <c r="C45" s="1957"/>
      <c r="D45" s="1957"/>
      <c r="E45" s="1957"/>
      <c r="F45" s="1957"/>
      <c r="G45" s="1957"/>
      <c r="H45" s="1957"/>
      <c r="I45" s="1957"/>
      <c r="J45" s="1957"/>
      <c r="K45" s="1957"/>
      <c r="L45" s="1957"/>
      <c r="M45" s="1957"/>
      <c r="N45" s="1957"/>
      <c r="O45" s="1958"/>
    </row>
    <row r="46" spans="1:15" ht="23.6">
      <c r="A46" s="1959" t="s">
        <v>391</v>
      </c>
      <c r="B46" s="1960"/>
      <c r="C46" s="1960"/>
      <c r="D46" s="1960"/>
      <c r="E46" s="1960"/>
      <c r="F46" s="1960"/>
      <c r="G46" s="1960"/>
      <c r="H46" s="1960"/>
      <c r="I46" s="1960"/>
      <c r="J46" s="1960"/>
      <c r="K46" s="1960"/>
      <c r="L46" s="1960"/>
      <c r="M46" s="1960"/>
      <c r="N46" s="1960"/>
      <c r="O46" s="1960"/>
    </row>
    <row r="47" spans="1:15" ht="12.45">
      <c r="A47" s="1961"/>
      <c r="B47" s="1962"/>
      <c r="C47" s="1962"/>
      <c r="D47" s="1962"/>
      <c r="E47" s="1962"/>
      <c r="F47" s="1962"/>
      <c r="G47" s="1962"/>
      <c r="H47" s="1962"/>
      <c r="I47" s="1962"/>
      <c r="J47" s="1962"/>
      <c r="K47" s="1962"/>
      <c r="L47" s="1962"/>
      <c r="M47" s="1962"/>
      <c r="N47" s="1962"/>
      <c r="O47" s="1963"/>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2042</v>
      </c>
      <c r="B49" s="1056">
        <f>B44+1</f>
        <v>87</v>
      </c>
      <c r="C49" s="1062">
        <f>C44+1</f>
        <v>87</v>
      </c>
      <c r="D49" s="1026">
        <v>33768</v>
      </c>
      <c r="E49" s="1025">
        <v>0</v>
      </c>
      <c r="F49" s="982">
        <v>0</v>
      </c>
      <c r="G49" s="719">
        <v>2861.89</v>
      </c>
      <c r="H49" s="1026">
        <f>'Spenddown calculator'!I45</f>
        <v>1212.532113706339</v>
      </c>
      <c r="I49" s="1025">
        <v>0</v>
      </c>
      <c r="J49" s="1026">
        <v>12758</v>
      </c>
      <c r="K49" s="1026">
        <v>4800</v>
      </c>
      <c r="L49" s="1025">
        <v>1500</v>
      </c>
      <c r="M49" s="1025">
        <f t="shared" si="4"/>
        <v>52100.422113706336</v>
      </c>
      <c r="N49" s="967">
        <f>I10</f>
        <v>82500</v>
      </c>
      <c r="O49" s="977">
        <f t="shared" si="2"/>
        <v>-30399.577886293664</v>
      </c>
    </row>
    <row r="50" spans="1:16" ht="14.4">
      <c r="A50" s="119">
        <f t="shared" si="3"/>
        <v>2043</v>
      </c>
      <c r="B50" s="1054">
        <f t="shared" si="3"/>
        <v>88</v>
      </c>
      <c r="C50" s="1057">
        <f t="shared" si="3"/>
        <v>88</v>
      </c>
      <c r="D50" s="1026">
        <v>33768</v>
      </c>
      <c r="E50" s="1025">
        <v>0</v>
      </c>
      <c r="F50" s="982">
        <v>0</v>
      </c>
      <c r="G50" s="719">
        <v>2861.89</v>
      </c>
      <c r="H50" s="1026">
        <f>'Spenddown calculator'!I47</f>
        <v>1088.8538381082926</v>
      </c>
      <c r="I50" s="1025">
        <v>0</v>
      </c>
      <c r="J50" s="1026">
        <v>12758</v>
      </c>
      <c r="K50" s="1026">
        <v>4800</v>
      </c>
      <c r="L50" s="1025">
        <v>1500</v>
      </c>
      <c r="M50" s="1025">
        <f t="shared" si="4"/>
        <v>51976.74383810829</v>
      </c>
      <c r="N50" s="967">
        <f>I10</f>
        <v>82500</v>
      </c>
      <c r="O50" s="977">
        <f t="shared" si="2"/>
        <v>-30523.25616189171</v>
      </c>
    </row>
    <row r="51" spans="1:16" ht="14.4">
      <c r="A51" s="119">
        <f t="shared" si="3"/>
        <v>2044</v>
      </c>
      <c r="B51" s="1053">
        <f t="shared" si="3"/>
        <v>89</v>
      </c>
      <c r="C51" s="1057">
        <f t="shared" si="3"/>
        <v>89</v>
      </c>
      <c r="D51" s="1026">
        <v>33768</v>
      </c>
      <c r="E51" s="1025">
        <v>0</v>
      </c>
      <c r="F51" s="982">
        <v>0</v>
      </c>
      <c r="G51" s="719">
        <v>2861.89</v>
      </c>
      <c r="H51" s="1026">
        <f>'Spenddown calculator'!I49</f>
        <v>977.79074662124685</v>
      </c>
      <c r="I51" s="1025">
        <v>0</v>
      </c>
      <c r="J51" s="1026">
        <v>12758</v>
      </c>
      <c r="K51" s="1026">
        <v>4800</v>
      </c>
      <c r="L51" s="1025">
        <v>1500</v>
      </c>
      <c r="M51" s="1025">
        <f t="shared" si="4"/>
        <v>51865.680746621249</v>
      </c>
      <c r="N51" s="967">
        <f>I10</f>
        <v>82500</v>
      </c>
      <c r="O51" s="977">
        <f t="shared" si="2"/>
        <v>-30634.319253378751</v>
      </c>
    </row>
    <row r="52" spans="1:16" ht="14.4">
      <c r="A52" s="144">
        <f t="shared" si="3"/>
        <v>2045</v>
      </c>
      <c r="B52" s="1052">
        <f t="shared" si="3"/>
        <v>90</v>
      </c>
      <c r="C52" s="1060">
        <f t="shared" si="3"/>
        <v>90</v>
      </c>
      <c r="D52" s="1026">
        <v>33768</v>
      </c>
      <c r="E52" s="1025">
        <v>0</v>
      </c>
      <c r="F52" s="1050">
        <v>0</v>
      </c>
      <c r="G52" s="719">
        <v>2861.89</v>
      </c>
      <c r="H52" s="1026">
        <f>'Spenddown calculator'!I51</f>
        <v>878.05609046587961</v>
      </c>
      <c r="I52" s="1025">
        <v>0</v>
      </c>
      <c r="J52" s="1026">
        <v>12758</v>
      </c>
      <c r="K52" s="1026">
        <v>4800</v>
      </c>
      <c r="L52" s="1025">
        <v>1500</v>
      </c>
      <c r="M52" s="1025">
        <f t="shared" si="4"/>
        <v>51765.946090465877</v>
      </c>
      <c r="N52" s="984">
        <f>I10</f>
        <v>82500</v>
      </c>
      <c r="O52" s="985">
        <f>M52-N54</f>
        <v>-30734.053909534123</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2046</v>
      </c>
      <c r="B54" s="1063">
        <f>B52+1</f>
        <v>91</v>
      </c>
      <c r="C54" s="1064">
        <f>C52+1</f>
        <v>91</v>
      </c>
      <c r="D54" s="1090">
        <v>33768</v>
      </c>
      <c r="E54" s="1025">
        <v>0</v>
      </c>
      <c r="F54" s="982">
        <v>0</v>
      </c>
      <c r="G54" s="719">
        <v>2861.89</v>
      </c>
      <c r="H54" s="1026">
        <f>'Spenddown calculator'!I53</f>
        <v>788.49436923835992</v>
      </c>
      <c r="I54" s="1025">
        <v>0</v>
      </c>
      <c r="J54" s="1026">
        <v>12758</v>
      </c>
      <c r="K54" s="1026">
        <v>4800</v>
      </c>
      <c r="L54" s="1025">
        <v>0</v>
      </c>
      <c r="M54" s="1026">
        <f t="shared" si="4"/>
        <v>50176.38436923836</v>
      </c>
      <c r="N54" s="967">
        <f>I10</f>
        <v>82500</v>
      </c>
      <c r="O54" s="977">
        <f>M54-N55</f>
        <v>-32323.61563076164</v>
      </c>
    </row>
    <row r="55" spans="1:16" ht="13.1" customHeight="1">
      <c r="A55" s="137">
        <f t="shared" ref="A55:C57" si="5">A54+1</f>
        <v>2047</v>
      </c>
      <c r="B55" s="1054">
        <f t="shared" si="5"/>
        <v>92</v>
      </c>
      <c r="C55" s="1059">
        <f t="shared" si="5"/>
        <v>92</v>
      </c>
      <c r="D55" s="1090">
        <v>33768</v>
      </c>
      <c r="E55" s="1025">
        <v>0</v>
      </c>
      <c r="F55" s="982">
        <v>0</v>
      </c>
      <c r="G55" s="719">
        <v>2861.89</v>
      </c>
      <c r="H55" s="1026">
        <f>'Spenddown calculator'!I55</f>
        <v>708.06794357604713</v>
      </c>
      <c r="I55" s="1025">
        <v>0</v>
      </c>
      <c r="J55" s="1026">
        <v>12758</v>
      </c>
      <c r="K55" s="1026">
        <v>4800</v>
      </c>
      <c r="L55" s="1025">
        <v>0</v>
      </c>
      <c r="M55" s="1026">
        <f t="shared" si="4"/>
        <v>50095.957943576046</v>
      </c>
      <c r="N55" s="967">
        <f>I10</f>
        <v>82500</v>
      </c>
      <c r="O55" s="977">
        <f>M55-N55</f>
        <v>-32404.042056423954</v>
      </c>
    </row>
    <row r="56" spans="1:16" ht="13.1" customHeight="1">
      <c r="A56" s="137">
        <f t="shared" si="5"/>
        <v>2048</v>
      </c>
      <c r="B56" s="1054">
        <f t="shared" si="5"/>
        <v>93</v>
      </c>
      <c r="C56" s="1059">
        <f t="shared" si="5"/>
        <v>93</v>
      </c>
      <c r="D56" s="1090">
        <v>33768</v>
      </c>
      <c r="E56" s="1025">
        <v>0</v>
      </c>
      <c r="F56" s="982">
        <v>0</v>
      </c>
      <c r="G56" s="719">
        <v>2861.89</v>
      </c>
      <c r="H56" s="1026">
        <f>'Spenddown calculator'!I57</f>
        <v>635.84501333129037</v>
      </c>
      <c r="I56" s="1025">
        <v>0</v>
      </c>
      <c r="J56" s="1026">
        <v>12758</v>
      </c>
      <c r="K56" s="1026">
        <v>4800</v>
      </c>
      <c r="L56" s="1025">
        <v>0</v>
      </c>
      <c r="M56" s="1026">
        <f t="shared" si="4"/>
        <v>50023.735013331287</v>
      </c>
      <c r="N56" s="967">
        <f>I10</f>
        <v>82500</v>
      </c>
      <c r="O56" s="977">
        <f t="shared" ref="O56:O57" si="6">M56-N56</f>
        <v>-32476.264986668713</v>
      </c>
    </row>
    <row r="57" spans="1:16" ht="13.1" customHeight="1">
      <c r="A57" s="137">
        <f t="shared" si="5"/>
        <v>2049</v>
      </c>
      <c r="B57" s="1054">
        <f t="shared" si="5"/>
        <v>94</v>
      </c>
      <c r="C57" s="1059">
        <f t="shared" si="5"/>
        <v>94</v>
      </c>
      <c r="D57" s="1090">
        <v>33768</v>
      </c>
      <c r="E57" s="1025">
        <v>0</v>
      </c>
      <c r="F57" s="982">
        <v>0</v>
      </c>
      <c r="G57" s="719">
        <v>2861.89</v>
      </c>
      <c r="H57" s="1026">
        <f>'Spenddown calculator'!I59</f>
        <v>570.98882197149874</v>
      </c>
      <c r="I57" s="1025">
        <v>0</v>
      </c>
      <c r="J57" s="1026">
        <v>12758</v>
      </c>
      <c r="K57" s="1026">
        <v>4800</v>
      </c>
      <c r="L57" s="1025">
        <v>0</v>
      </c>
      <c r="M57" s="1026">
        <f t="shared" si="4"/>
        <v>49958.878821971499</v>
      </c>
      <c r="N57" s="967">
        <f>I10</f>
        <v>82500</v>
      </c>
      <c r="O57" s="977">
        <f t="shared" si="6"/>
        <v>-32541.121178028501</v>
      </c>
    </row>
    <row r="58" spans="1:16" ht="12.45">
      <c r="A58" s="1953"/>
      <c r="B58" s="1953"/>
      <c r="C58" s="1953"/>
      <c r="D58" s="1953"/>
      <c r="E58" s="1953"/>
      <c r="F58" s="1953"/>
      <c r="G58" s="1953"/>
      <c r="H58" s="1953"/>
      <c r="I58" s="1953"/>
      <c r="J58" s="1953"/>
      <c r="K58" s="1953"/>
      <c r="L58" s="1953"/>
      <c r="M58" s="1953"/>
      <c r="N58" s="1953"/>
      <c r="O58" s="1964"/>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5422223578601"/>
  </sheetPr>
  <dimension ref="A9:U31"/>
  <sheetViews>
    <sheetView showGridLines="0" workbookViewId="0"/>
  </sheetViews>
  <sheetFormatPr defaultRowHeight="12.45"/>
  <cols>
    <col min="1" max="10" width="8.875" style="156"/>
    <col min="11" max="11" width="23" style="156" customWidth="1"/>
    <col min="12" max="12" width="23.625" style="156" customWidth="1"/>
    <col min="13" max="21" width="8.875" style="156"/>
  </cols>
  <sheetData>
    <row r="9" spans="1:14" ht="17.7">
      <c r="A9" s="1594" t="s">
        <v>100</v>
      </c>
      <c r="B9" s="1594"/>
      <c r="C9" s="1594"/>
      <c r="D9" s="1594"/>
      <c r="E9" s="1594"/>
      <c r="F9" s="1594"/>
      <c r="G9" s="1594"/>
      <c r="H9" s="1594"/>
      <c r="I9" s="1594"/>
      <c r="J9" s="1594"/>
      <c r="K9" s="1594"/>
      <c r="L9" s="711">
        <v>200000</v>
      </c>
    </row>
    <row r="10" spans="1:14" ht="18.350000000000001">
      <c r="A10" s="1595" t="s">
        <v>101</v>
      </c>
      <c r="B10" s="1596"/>
      <c r="C10" s="1596"/>
      <c r="D10" s="1596"/>
      <c r="E10" s="1596"/>
      <c r="F10" s="1596"/>
      <c r="G10" s="1596"/>
      <c r="H10" s="1596"/>
      <c r="I10" s="1596"/>
      <c r="J10" s="554" t="s">
        <v>102</v>
      </c>
      <c r="K10" s="555">
        <v>1.9400000000000001E-2</v>
      </c>
      <c r="L10" s="556">
        <f>(L9*K10)</f>
        <v>3880</v>
      </c>
      <c r="M10" s="226"/>
      <c r="N10" s="226"/>
    </row>
    <row r="11" spans="1:14" ht="17.7">
      <c r="A11" s="1597" t="s">
        <v>103</v>
      </c>
      <c r="B11" s="1597"/>
      <c r="C11" s="1597"/>
      <c r="D11" s="1597"/>
      <c r="E11" s="1597"/>
      <c r="F11" s="1597"/>
      <c r="G11" s="1597"/>
      <c r="H11" s="1597"/>
      <c r="I11" s="1597"/>
      <c r="J11" s="1597"/>
      <c r="K11" s="1597"/>
      <c r="L11" s="557">
        <f>L9-L10</f>
        <v>196120</v>
      </c>
    </row>
    <row r="13" spans="1:14" ht="17.7">
      <c r="L13" s="558">
        <f>L11</f>
        <v>196120</v>
      </c>
    </row>
    <row r="14" spans="1:14" ht="18.350000000000001">
      <c r="A14" s="1592" t="s">
        <v>104</v>
      </c>
      <c r="B14" s="1593"/>
      <c r="C14" s="1593"/>
      <c r="D14" s="1593"/>
      <c r="E14" s="1593"/>
      <c r="F14" s="1593"/>
      <c r="G14" s="1593"/>
      <c r="H14" s="1593"/>
      <c r="I14" s="1593"/>
      <c r="J14" s="554" t="s">
        <v>102</v>
      </c>
      <c r="K14" s="555">
        <v>1.26E-2</v>
      </c>
      <c r="L14" s="556">
        <f>(L13*K14)</f>
        <v>2471.1120000000001</v>
      </c>
    </row>
    <row r="15" spans="1:14" ht="17.7">
      <c r="A15" s="1597" t="s">
        <v>105</v>
      </c>
      <c r="B15" s="1597"/>
      <c r="C15" s="1597"/>
      <c r="D15" s="1597"/>
      <c r="E15" s="1597"/>
      <c r="F15" s="1597"/>
      <c r="G15" s="1597"/>
      <c r="H15" s="1597"/>
      <c r="I15" s="1597"/>
      <c r="J15" s="1597"/>
      <c r="K15" s="1597"/>
      <c r="L15" s="557">
        <f>L13-L14</f>
        <v>193648.88800000001</v>
      </c>
    </row>
    <row r="17" spans="1:15" ht="17.7">
      <c r="L17" s="558">
        <f>L15</f>
        <v>193648.88800000001</v>
      </c>
    </row>
    <row r="18" spans="1:15" ht="18.350000000000001">
      <c r="A18" s="1592" t="s">
        <v>106</v>
      </c>
      <c r="B18" s="1593"/>
      <c r="C18" s="1593"/>
      <c r="D18" s="1593"/>
      <c r="E18" s="1593"/>
      <c r="F18" s="1593"/>
      <c r="G18" s="1593"/>
      <c r="H18" s="1593"/>
      <c r="I18" s="1593"/>
      <c r="J18" s="554" t="s">
        <v>102</v>
      </c>
      <c r="K18" s="555">
        <v>2.1299999999999999E-2</v>
      </c>
      <c r="L18" s="556">
        <f>(L17*K18)</f>
        <v>4124.7213143999998</v>
      </c>
    </row>
    <row r="19" spans="1:15" ht="17.7">
      <c r="A19" s="1597" t="s">
        <v>105</v>
      </c>
      <c r="B19" s="1597"/>
      <c r="C19" s="1597"/>
      <c r="D19" s="1597"/>
      <c r="E19" s="1597"/>
      <c r="F19" s="1597"/>
      <c r="G19" s="1597"/>
      <c r="H19" s="1597"/>
      <c r="I19" s="1597"/>
      <c r="J19" s="1597"/>
      <c r="K19" s="1597"/>
      <c r="L19" s="557">
        <f>L17-L18</f>
        <v>189524.16668560001</v>
      </c>
    </row>
    <row r="21" spans="1:15" ht="17.7">
      <c r="A21" s="559"/>
      <c r="B21" s="559"/>
      <c r="C21" s="559"/>
      <c r="D21" s="559"/>
      <c r="E21" s="559"/>
      <c r="F21" s="559"/>
      <c r="G21" s="559"/>
      <c r="H21" s="559"/>
      <c r="L21" s="558">
        <f>L19</f>
        <v>189524.16668560001</v>
      </c>
    </row>
    <row r="22" spans="1:15" ht="18.350000000000001">
      <c r="A22" s="1592" t="s">
        <v>107</v>
      </c>
      <c r="B22" s="1593"/>
      <c r="C22" s="1593"/>
      <c r="D22" s="1593"/>
      <c r="E22" s="1593"/>
      <c r="F22" s="1593"/>
      <c r="G22" s="1593"/>
      <c r="H22" s="1593"/>
      <c r="I22" s="1593"/>
      <c r="J22" s="554" t="s">
        <v>102</v>
      </c>
      <c r="K22" s="555">
        <v>2.4400000000000002E-2</v>
      </c>
      <c r="L22" s="556">
        <f>(L21*K22)</f>
        <v>4624.3896671286402</v>
      </c>
    </row>
    <row r="23" spans="1:15" ht="17.7">
      <c r="A23" s="1597" t="s">
        <v>105</v>
      </c>
      <c r="B23" s="1598"/>
      <c r="C23" s="1598"/>
      <c r="D23" s="1598"/>
      <c r="E23" s="1598"/>
      <c r="F23" s="1598"/>
      <c r="G23" s="1598"/>
      <c r="H23" s="1598"/>
      <c r="I23" s="1598"/>
      <c r="J23" s="1598"/>
      <c r="K23" s="1598"/>
      <c r="L23" s="557">
        <f>L21-L22</f>
        <v>184899.77701847136</v>
      </c>
    </row>
    <row r="25" spans="1:15" ht="17.7">
      <c r="E25" s="1600"/>
      <c r="F25" s="1601"/>
      <c r="G25" s="1601"/>
      <c r="H25" s="1601"/>
      <c r="I25" s="1601"/>
      <c r="J25" s="1601"/>
      <c r="K25" s="1601"/>
      <c r="L25" s="1601"/>
      <c r="M25" s="1601"/>
      <c r="N25" s="1601"/>
      <c r="O25" s="1601"/>
    </row>
    <row r="26" spans="1:15" ht="23.6">
      <c r="A26" s="1599" t="s">
        <v>108</v>
      </c>
      <c r="B26" s="1599"/>
      <c r="C26" s="1599"/>
      <c r="D26" s="1599"/>
      <c r="E26" s="1599"/>
      <c r="F26" s="1599"/>
      <c r="G26" s="1599"/>
      <c r="H26" s="1599"/>
      <c r="I26" s="1599"/>
      <c r="J26" s="1599"/>
      <c r="K26" s="654">
        <f>L10+L14+L18+L22+L26+L30</f>
        <v>15100.222981528639</v>
      </c>
      <c r="L26" s="556"/>
    </row>
    <row r="27" spans="1:15" ht="17.7">
      <c r="A27" s="1597"/>
      <c r="B27" s="1598"/>
      <c r="C27" s="1598"/>
      <c r="D27" s="1598"/>
      <c r="E27" s="1598"/>
      <c r="F27" s="1598"/>
      <c r="G27" s="1598"/>
      <c r="H27" s="1598"/>
      <c r="I27" s="1598"/>
      <c r="J27" s="1598"/>
      <c r="K27" s="1598"/>
      <c r="L27" s="557"/>
      <c r="M27" s="560"/>
    </row>
    <row r="29" spans="1:15" ht="18.350000000000001">
      <c r="A29" s="1592"/>
      <c r="B29" s="1593"/>
      <c r="C29" s="1593"/>
      <c r="D29" s="1593"/>
      <c r="E29" s="1593"/>
      <c r="F29" s="1593"/>
      <c r="G29" s="1593"/>
      <c r="H29" s="1593"/>
      <c r="I29" s="1593"/>
      <c r="J29" s="554"/>
      <c r="K29" s="555"/>
      <c r="L29" s="557"/>
    </row>
    <row r="30" spans="1:15" ht="18.350000000000001">
      <c r="A30" s="1592"/>
      <c r="B30" s="1593"/>
      <c r="C30" s="1593"/>
      <c r="D30" s="1593"/>
      <c r="E30" s="1593"/>
      <c r="F30" s="1593"/>
      <c r="G30" s="1593"/>
      <c r="H30" s="1593"/>
      <c r="I30" s="1593"/>
      <c r="J30" s="554"/>
      <c r="K30" s="555"/>
      <c r="L30" s="556"/>
    </row>
    <row r="31" spans="1:15" ht="17.7">
      <c r="A31" s="1597"/>
      <c r="B31" s="1598"/>
      <c r="C31" s="1598"/>
      <c r="D31" s="1598"/>
      <c r="E31" s="1598"/>
      <c r="F31" s="1598"/>
      <c r="G31" s="1598"/>
      <c r="H31" s="1598"/>
      <c r="I31" s="1598"/>
      <c r="J31" s="1598"/>
      <c r="K31" s="1598"/>
      <c r="L31" s="557"/>
    </row>
  </sheetData>
  <mergeCells count="15">
    <mergeCell ref="A30:I30"/>
    <mergeCell ref="A31:K31"/>
    <mergeCell ref="A26:J26"/>
    <mergeCell ref="A19:K19"/>
    <mergeCell ref="A22:I22"/>
    <mergeCell ref="A23:K23"/>
    <mergeCell ref="A27:K27"/>
    <mergeCell ref="A29:I29"/>
    <mergeCell ref="E25:O25"/>
    <mergeCell ref="A18:I18"/>
    <mergeCell ref="A9:K9"/>
    <mergeCell ref="A10:I10"/>
    <mergeCell ref="A11:K11"/>
    <mergeCell ref="A14:I14"/>
    <mergeCell ref="A15:K15"/>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965" t="s">
        <v>581</v>
      </c>
      <c r="E1" s="1966"/>
      <c r="F1" s="1966"/>
      <c r="G1" s="1966"/>
      <c r="H1" s="1966"/>
      <c r="I1" s="1966"/>
      <c r="J1" s="1966"/>
      <c r="K1" s="1030" t="s">
        <v>396</v>
      </c>
      <c r="L1" s="1721" t="s">
        <v>397</v>
      </c>
      <c r="M1" s="1721"/>
    </row>
    <row r="2" spans="1:13" ht="24.25">
      <c r="A2" s="296">
        <f>'Egan Asset Summary'!M17</f>
        <v>321628.61</v>
      </c>
      <c r="B2" s="298">
        <v>164000</v>
      </c>
      <c r="C2" s="297">
        <v>11000</v>
      </c>
      <c r="D2" s="1967"/>
      <c r="E2" s="1967"/>
      <c r="F2" s="1967"/>
      <c r="G2" s="1967"/>
      <c r="H2" s="1967"/>
      <c r="I2" s="1967"/>
      <c r="J2" s="1967"/>
      <c r="K2" s="1031" t="s">
        <v>160</v>
      </c>
      <c r="L2" s="1721" t="s">
        <v>398</v>
      </c>
      <c r="M2" s="1721"/>
    </row>
    <row r="3" spans="1:13" ht="26.2">
      <c r="A3" s="34"/>
      <c r="B3" s="118"/>
      <c r="C3" s="35"/>
      <c r="D3" s="1968"/>
      <c r="E3" s="1968"/>
      <c r="F3" s="1968"/>
      <c r="G3" s="1968"/>
      <c r="H3" s="1968"/>
      <c r="I3" s="1968"/>
      <c r="J3" s="1968"/>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D3</f>
        <v>0</v>
      </c>
      <c r="K15" s="236">
        <f>D3</f>
        <v>0</v>
      </c>
      <c r="L15" s="236">
        <f>D3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63" t="s">
        <v>137</v>
      </c>
      <c r="B1" s="1564"/>
      <c r="C1" s="1564"/>
      <c r="D1" s="1565"/>
      <c r="E1" s="1089" t="s">
        <v>42</v>
      </c>
      <c r="F1" s="1566" t="s">
        <v>567</v>
      </c>
      <c r="G1" s="1567"/>
      <c r="H1" s="1568"/>
      <c r="I1" s="1089" t="s">
        <v>44</v>
      </c>
      <c r="J1" s="1569" t="s">
        <v>568</v>
      </c>
      <c r="K1" s="1567"/>
      <c r="L1" s="1568"/>
      <c r="M1" s="208"/>
    </row>
    <row r="2" spans="1:17" ht="15.05">
      <c r="A2" s="1069"/>
      <c r="B2" s="588"/>
      <c r="C2" s="588"/>
      <c r="D2" s="588"/>
      <c r="E2" s="1070"/>
      <c r="F2" s="192"/>
      <c r="G2" s="192"/>
      <c r="H2" s="192"/>
      <c r="I2" s="1070"/>
      <c r="J2" s="1071"/>
      <c r="K2" s="1072"/>
      <c r="L2" s="192"/>
      <c r="M2" s="208"/>
    </row>
    <row r="3" spans="1:17" ht="15.05">
      <c r="B3" s="89"/>
      <c r="C3" s="89"/>
      <c r="E3" s="1012" t="s">
        <v>372</v>
      </c>
      <c r="F3" s="1007">
        <v>20264</v>
      </c>
      <c r="G3" s="1008">
        <v>65</v>
      </c>
      <c r="H3" s="1012" t="s">
        <v>411</v>
      </c>
      <c r="I3" s="1008">
        <v>66</v>
      </c>
      <c r="J3" s="1016">
        <f>I3-G3</f>
        <v>1</v>
      </c>
      <c r="K3" s="1033" t="s">
        <v>47</v>
      </c>
      <c r="L3" s="192"/>
      <c r="Q3" s="89"/>
    </row>
    <row r="4" spans="1:17" ht="15.05">
      <c r="C4" s="988">
        <f ca="1">TODAY()</f>
        <v>46198</v>
      </c>
      <c r="E4" s="1065" t="s">
        <v>374</v>
      </c>
      <c r="F4" s="1007">
        <v>19987</v>
      </c>
      <c r="G4" s="1008">
        <v>65</v>
      </c>
      <c r="H4" s="1065" t="s">
        <v>373</v>
      </c>
      <c r="I4" s="1008">
        <v>66</v>
      </c>
      <c r="J4" s="971">
        <f>I4-G4</f>
        <v>1</v>
      </c>
      <c r="K4" s="1065" t="s">
        <v>47</v>
      </c>
    </row>
    <row r="5" spans="1:17" s="89" customFormat="1" ht="20.3">
      <c r="B5" s="208"/>
      <c r="C5" s="970">
        <v>2020</v>
      </c>
      <c r="D5" s="192"/>
      <c r="E5" s="925"/>
      <c r="F5" s="925"/>
      <c r="G5" s="925"/>
      <c r="H5" s="192"/>
      <c r="I5" s="969"/>
      <c r="J5" s="192"/>
      <c r="K5" s="192"/>
      <c r="L5" s="969"/>
      <c r="M5" s="371"/>
      <c r="N5" s="192"/>
    </row>
    <row r="6" spans="1:17" s="89" customFormat="1" ht="17.7">
      <c r="A6" s="1788" t="s">
        <v>375</v>
      </c>
      <c r="B6" s="1789"/>
      <c r="C6" s="1790"/>
      <c r="D6" s="1009">
        <v>9166.67</v>
      </c>
      <c r="E6" s="1791" t="s">
        <v>376</v>
      </c>
      <c r="F6" s="1741"/>
      <c r="G6" s="1015">
        <f>D6*12</f>
        <v>110000.04000000001</v>
      </c>
      <c r="H6" s="968" t="s">
        <v>377</v>
      </c>
      <c r="J6" s="968" t="s">
        <v>377</v>
      </c>
      <c r="K6" s="974"/>
      <c r="N6" s="16"/>
      <c r="O6" s="16"/>
    </row>
    <row r="7" spans="1:17" s="89" customFormat="1" ht="17.7">
      <c r="A7" s="1854" t="s">
        <v>378</v>
      </c>
      <c r="B7" s="1855"/>
      <c r="C7" s="1856"/>
      <c r="D7" s="1009">
        <v>0</v>
      </c>
      <c r="E7" s="1857" t="s">
        <v>379</v>
      </c>
      <c r="F7" s="1858"/>
      <c r="G7" s="1015">
        <f>D7*12</f>
        <v>0</v>
      </c>
      <c r="H7" s="968" t="s">
        <v>519</v>
      </c>
      <c r="I7" s="1015">
        <f>D6+D7</f>
        <v>9166.67</v>
      </c>
      <c r="J7" s="968" t="s">
        <v>380</v>
      </c>
      <c r="K7" s="972">
        <f>G6+G7</f>
        <v>110000.04000000001</v>
      </c>
      <c r="O7" s="16"/>
    </row>
    <row r="10" spans="1:17" ht="17.7">
      <c r="A10" s="1524" t="s">
        <v>50</v>
      </c>
      <c r="B10" s="1524"/>
      <c r="C10" s="1524"/>
      <c r="D10" s="1524"/>
      <c r="E10" s="1010">
        <v>5500</v>
      </c>
      <c r="F10" s="965" t="s">
        <v>51</v>
      </c>
      <c r="G10" s="966">
        <f>E10*12</f>
        <v>66000</v>
      </c>
      <c r="H10" s="192"/>
      <c r="I10" s="973">
        <f>G10*1.25</f>
        <v>82500</v>
      </c>
      <c r="J10" s="1734" t="s">
        <v>52</v>
      </c>
      <c r="K10" s="1734"/>
      <c r="L10" s="1734"/>
      <c r="M10" s="1734"/>
      <c r="N10" s="1734"/>
      <c r="O10" s="16"/>
    </row>
    <row r="11" spans="1:17" s="89" customFormat="1" ht="20.3">
      <c r="B11" s="208"/>
      <c r="C11" s="970"/>
      <c r="D11" s="192"/>
      <c r="E11" s="925"/>
      <c r="F11" s="925"/>
      <c r="G11" s="925"/>
      <c r="H11" s="192"/>
      <c r="I11" s="969"/>
      <c r="J11" s="192"/>
      <c r="K11" s="192"/>
      <c r="L11" s="969"/>
      <c r="M11" s="371"/>
      <c r="N11" s="192"/>
    </row>
    <row r="12" spans="1:17" ht="18" customHeight="1">
      <c r="A12" s="1742" t="s">
        <v>383</v>
      </c>
      <c r="B12" s="1743"/>
      <c r="C12" s="1744"/>
      <c r="D12" s="1010">
        <v>2814</v>
      </c>
      <c r="E12" s="1013" t="s">
        <v>12</v>
      </c>
      <c r="F12" s="1011">
        <v>66</v>
      </c>
      <c r="G12" s="1745" t="s">
        <v>54</v>
      </c>
      <c r="H12" s="1746"/>
      <c r="I12" s="1021">
        <f>D12*12</f>
        <v>33768</v>
      </c>
      <c r="J12" s="1553" t="s">
        <v>55</v>
      </c>
      <c r="K12" s="1553"/>
      <c r="L12" s="1553"/>
      <c r="M12" s="1553"/>
      <c r="N12" s="1553"/>
      <c r="O12" s="1553"/>
    </row>
    <row r="13" spans="1:17" ht="17.7">
      <c r="A13" s="1866" t="s">
        <v>521</v>
      </c>
      <c r="B13" s="1867"/>
      <c r="C13" s="1868"/>
      <c r="D13" s="1010">
        <v>1199</v>
      </c>
      <c r="E13" s="1066" t="s">
        <v>12</v>
      </c>
      <c r="F13" s="1011">
        <v>66</v>
      </c>
      <c r="G13" s="1869" t="s">
        <v>54</v>
      </c>
      <c r="H13" s="1870"/>
      <c r="I13" s="973">
        <f>D13*12</f>
        <v>14388</v>
      </c>
      <c r="J13" s="1552"/>
      <c r="K13" s="1552"/>
      <c r="L13" s="1002"/>
      <c r="N13" s="16"/>
      <c r="O13" s="16"/>
    </row>
    <row r="14" spans="1:17" s="89" customFormat="1" ht="17.55" customHeight="1">
      <c r="A14" s="1551"/>
      <c r="B14" s="1551"/>
      <c r="C14" s="1551"/>
      <c r="D14" s="1551"/>
      <c r="E14" s="1551"/>
      <c r="F14" s="1551"/>
      <c r="G14" s="1551"/>
      <c r="H14" s="1551"/>
      <c r="I14" s="1551"/>
      <c r="J14" s="1551"/>
      <c r="K14" s="1551"/>
      <c r="L14" s="1551"/>
      <c r="M14" s="1551"/>
      <c r="N14" s="1551"/>
      <c r="O14" s="1551"/>
    </row>
    <row r="15" spans="1:17" s="89" customFormat="1" ht="23.6">
      <c r="A15" s="1919" t="s">
        <v>582</v>
      </c>
      <c r="B15" s="1919"/>
      <c r="C15" s="1919"/>
      <c r="D15" s="1919"/>
      <c r="E15" s="1919"/>
      <c r="F15" s="1919"/>
      <c r="G15" s="1919"/>
      <c r="H15" s="1919"/>
      <c r="I15" s="1919"/>
      <c r="J15" s="1919"/>
      <c r="K15" s="1919"/>
      <c r="L15" s="1919"/>
      <c r="M15" s="1919"/>
      <c r="N15" s="1919"/>
      <c r="O15" s="1920"/>
    </row>
    <row r="16" spans="1:17" ht="23.6">
      <c r="A16" s="1543" t="s">
        <v>57</v>
      </c>
      <c r="B16" s="1544"/>
      <c r="C16" s="1544"/>
      <c r="D16" s="1544"/>
      <c r="E16" s="1544"/>
      <c r="F16" s="1544"/>
      <c r="G16" s="1544"/>
      <c r="H16" s="1544"/>
      <c r="I16" s="1544"/>
      <c r="J16" s="1544"/>
      <c r="K16" s="1544"/>
      <c r="L16" s="1544"/>
      <c r="M16" s="1544"/>
      <c r="N16" s="1544"/>
      <c r="O16" s="1545"/>
    </row>
    <row r="17" spans="1:23" s="37" customFormat="1" ht="100" customHeight="1">
      <c r="A17" s="1088"/>
      <c r="B17" s="1088"/>
      <c r="C17" s="1088"/>
      <c r="D17" s="1027" t="s">
        <v>413</v>
      </c>
      <c r="E17" s="1046" t="s">
        <v>524</v>
      </c>
      <c r="F17" s="1097"/>
      <c r="G17" s="1091" t="s">
        <v>583</v>
      </c>
      <c r="H17" s="881" t="s">
        <v>584</v>
      </c>
      <c r="I17" s="1046" t="s">
        <v>563</v>
      </c>
      <c r="J17" s="374" t="s">
        <v>564</v>
      </c>
      <c r="K17" s="374" t="s">
        <v>565</v>
      </c>
      <c r="L17" s="1046" t="s">
        <v>575</v>
      </c>
      <c r="M17" s="1067" t="s">
        <v>65</v>
      </c>
      <c r="N17" s="1014" t="s">
        <v>66</v>
      </c>
      <c r="O17" s="1068" t="s">
        <v>67</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917"/>
      <c r="B19" s="1917"/>
      <c r="C19" s="1917"/>
      <c r="D19" s="1005"/>
      <c r="E19" s="1006"/>
      <c r="F19" s="1005"/>
      <c r="G19" s="1092"/>
      <c r="H19" s="1093">
        <v>1</v>
      </c>
      <c r="I19" s="1098">
        <v>0.75</v>
      </c>
      <c r="J19" s="1101">
        <v>1</v>
      </c>
      <c r="K19" s="1101">
        <v>1</v>
      </c>
      <c r="L19" s="1098">
        <v>0</v>
      </c>
      <c r="M19" s="992"/>
      <c r="N19" s="992"/>
      <c r="O19" s="993"/>
    </row>
    <row r="20" spans="1:23">
      <c r="A20" s="1969"/>
      <c r="B20" s="1969"/>
      <c r="C20" s="1970"/>
      <c r="D20" s="976">
        <f>F12</f>
        <v>66</v>
      </c>
      <c r="E20" s="976">
        <f>F13</f>
        <v>66</v>
      </c>
      <c r="F20" s="976"/>
      <c r="G20" s="1094">
        <f>I4</f>
        <v>66</v>
      </c>
      <c r="H20" s="1095">
        <v>66</v>
      </c>
      <c r="I20" s="1099">
        <v>65</v>
      </c>
      <c r="J20" s="1102">
        <v>66</v>
      </c>
      <c r="K20" s="1102">
        <v>66</v>
      </c>
      <c r="L20" s="1099">
        <v>65</v>
      </c>
      <c r="M20" s="990"/>
      <c r="N20" s="989"/>
      <c r="O20" s="994"/>
    </row>
    <row r="21" spans="1:23" ht="16.05" customHeight="1">
      <c r="A21" s="1749" t="s">
        <v>26</v>
      </c>
      <c r="B21" s="1813" t="s">
        <v>390</v>
      </c>
      <c r="C21" s="1862" t="s">
        <v>58</v>
      </c>
      <c r="D21" s="975">
        <f>I12</f>
        <v>33768</v>
      </c>
      <c r="E21" s="975">
        <f>I13</f>
        <v>14388</v>
      </c>
      <c r="F21" s="975"/>
      <c r="G21" s="1096">
        <v>9720</v>
      </c>
      <c r="H21" s="1096">
        <v>167400</v>
      </c>
      <c r="I21" s="1100">
        <v>2076</v>
      </c>
      <c r="J21" s="1103">
        <v>12756</v>
      </c>
      <c r="K21" s="1103">
        <v>4800</v>
      </c>
      <c r="L21" s="1100">
        <v>1500</v>
      </c>
      <c r="M21" s="990"/>
      <c r="N21" s="989"/>
      <c r="O21" s="994"/>
    </row>
    <row r="22" spans="1:23" ht="16.05" customHeight="1">
      <c r="A22" s="1750"/>
      <c r="B22" s="1814"/>
      <c r="C22" s="1863"/>
      <c r="D22" s="1951"/>
      <c r="E22" s="1951"/>
      <c r="F22" s="1951"/>
      <c r="G22" s="1951"/>
      <c r="H22" s="1951"/>
      <c r="I22" s="1951"/>
      <c r="J22" s="1951"/>
      <c r="K22" s="1951"/>
      <c r="L22" s="1952"/>
      <c r="M22" s="991"/>
      <c r="N22" s="208"/>
      <c r="O22" s="995"/>
    </row>
    <row r="23" spans="1:23" ht="14.4">
      <c r="A23" s="979" t="s">
        <v>68</v>
      </c>
      <c r="B23" s="1051">
        <f>G3</f>
        <v>65</v>
      </c>
      <c r="C23" s="1057">
        <f>G4</f>
        <v>65</v>
      </c>
      <c r="D23" s="982">
        <v>0</v>
      </c>
      <c r="E23" s="982">
        <v>0</v>
      </c>
      <c r="F23" s="982">
        <v>0</v>
      </c>
      <c r="G23" s="982">
        <v>0</v>
      </c>
      <c r="H23" s="982">
        <v>0</v>
      </c>
      <c r="I23" s="1025">
        <v>2076</v>
      </c>
      <c r="J23" s="982">
        <v>0</v>
      </c>
      <c r="K23" s="982">
        <v>0</v>
      </c>
      <c r="L23" s="982">
        <v>0</v>
      </c>
      <c r="M23" s="980">
        <f>D23+E23+F23+G23+H23+I23+J23+K23+L23</f>
        <v>2076</v>
      </c>
      <c r="N23" s="967">
        <f>I10</f>
        <v>82500</v>
      </c>
      <c r="O23" s="977">
        <f>M23-N24</f>
        <v>-80424</v>
      </c>
    </row>
    <row r="24" spans="1:23" ht="14.4">
      <c r="A24" s="119">
        <f t="shared" ref="A24:C39" si="0">A23+1</f>
        <v>2021</v>
      </c>
      <c r="B24" s="1052">
        <f t="shared" si="0"/>
        <v>66</v>
      </c>
      <c r="C24" s="1058">
        <f t="shared" si="0"/>
        <v>66</v>
      </c>
      <c r="D24" s="1026">
        <v>33768</v>
      </c>
      <c r="E24" s="1025">
        <v>14388</v>
      </c>
      <c r="F24" s="982">
        <v>0</v>
      </c>
      <c r="G24" s="719">
        <v>408.01</v>
      </c>
      <c r="H24" s="719">
        <v>6157.31</v>
      </c>
      <c r="I24" s="1025">
        <v>2076</v>
      </c>
      <c r="J24" s="1026">
        <v>12756</v>
      </c>
      <c r="K24" s="1026">
        <v>4800</v>
      </c>
      <c r="L24" s="1025">
        <v>1500</v>
      </c>
      <c r="M24" s="980">
        <f t="shared" ref="M24:M40" si="1">D24+E24+F24+G24+H24+I24+J24+K24+L24</f>
        <v>75853.320000000007</v>
      </c>
      <c r="N24" s="967">
        <f>I10</f>
        <v>82500</v>
      </c>
      <c r="O24" s="977">
        <f t="shared" ref="O24:O51" si="2">M24-N25</f>
        <v>-6646.679999999993</v>
      </c>
    </row>
    <row r="25" spans="1:23" ht="14.4">
      <c r="A25" s="155">
        <f t="shared" si="0"/>
        <v>2022</v>
      </c>
      <c r="B25" s="1053">
        <f t="shared" si="0"/>
        <v>67</v>
      </c>
      <c r="C25" s="1057">
        <f t="shared" si="0"/>
        <v>67</v>
      </c>
      <c r="D25" s="1026">
        <v>33768</v>
      </c>
      <c r="E25" s="1025">
        <v>14388</v>
      </c>
      <c r="F25" s="982">
        <v>0</v>
      </c>
      <c r="G25" s="719">
        <v>408.01</v>
      </c>
      <c r="H25" s="719">
        <v>6157.31</v>
      </c>
      <c r="I25" s="1025">
        <v>2076</v>
      </c>
      <c r="J25" s="1026">
        <v>12756</v>
      </c>
      <c r="K25" s="1026">
        <v>4800</v>
      </c>
      <c r="L25" s="1025">
        <v>1500</v>
      </c>
      <c r="M25" s="980">
        <f t="shared" si="1"/>
        <v>75853.320000000007</v>
      </c>
      <c r="N25" s="967">
        <f>I10</f>
        <v>82500</v>
      </c>
      <c r="O25" s="977">
        <f t="shared" si="2"/>
        <v>-6646.679999999993</v>
      </c>
    </row>
    <row r="26" spans="1:23" ht="14.4">
      <c r="A26" s="119">
        <f t="shared" si="0"/>
        <v>2023</v>
      </c>
      <c r="B26" s="1054">
        <f t="shared" si="0"/>
        <v>68</v>
      </c>
      <c r="C26" s="1059">
        <f t="shared" si="0"/>
        <v>68</v>
      </c>
      <c r="D26" s="1026">
        <v>33768</v>
      </c>
      <c r="E26" s="1025">
        <v>14388</v>
      </c>
      <c r="F26" s="982">
        <v>0</v>
      </c>
      <c r="G26" s="719">
        <v>408.01</v>
      </c>
      <c r="H26" s="719">
        <v>6157.31</v>
      </c>
      <c r="I26" s="1025">
        <v>2076</v>
      </c>
      <c r="J26" s="1026">
        <v>12756</v>
      </c>
      <c r="K26" s="1026">
        <v>4800</v>
      </c>
      <c r="L26" s="1025">
        <v>1500</v>
      </c>
      <c r="M26" s="980">
        <f t="shared" si="1"/>
        <v>75853.320000000007</v>
      </c>
      <c r="N26" s="967">
        <f>I10</f>
        <v>82500</v>
      </c>
      <c r="O26" s="977">
        <f t="shared" si="2"/>
        <v>-6646.679999999993</v>
      </c>
    </row>
    <row r="27" spans="1:23" ht="14.4">
      <c r="A27" s="119">
        <f t="shared" si="0"/>
        <v>2024</v>
      </c>
      <c r="B27" s="1053">
        <f t="shared" si="0"/>
        <v>69</v>
      </c>
      <c r="C27" s="1057">
        <f t="shared" si="0"/>
        <v>69</v>
      </c>
      <c r="D27" s="1026">
        <v>33768</v>
      </c>
      <c r="E27" s="1025">
        <v>14388</v>
      </c>
      <c r="F27" s="982">
        <v>0</v>
      </c>
      <c r="G27" s="719">
        <v>408.01</v>
      </c>
      <c r="H27" s="719">
        <v>6157.31</v>
      </c>
      <c r="I27" s="1025">
        <v>2076</v>
      </c>
      <c r="J27" s="1026">
        <v>12756</v>
      </c>
      <c r="K27" s="1026">
        <v>4800</v>
      </c>
      <c r="L27" s="1025">
        <v>1500</v>
      </c>
      <c r="M27" s="980">
        <f t="shared" si="1"/>
        <v>75853.320000000007</v>
      </c>
      <c r="N27" s="967">
        <f>I10</f>
        <v>82500</v>
      </c>
      <c r="O27" s="977">
        <f t="shared" si="2"/>
        <v>-6646.679999999993</v>
      </c>
    </row>
    <row r="28" spans="1:23" ht="14.4">
      <c r="A28" s="119">
        <f t="shared" si="0"/>
        <v>2025</v>
      </c>
      <c r="B28" s="1052">
        <f t="shared" si="0"/>
        <v>70</v>
      </c>
      <c r="C28" s="1060">
        <f t="shared" si="0"/>
        <v>70</v>
      </c>
      <c r="D28" s="1026">
        <v>33768</v>
      </c>
      <c r="E28" s="1025">
        <v>14388</v>
      </c>
      <c r="F28" s="982">
        <v>0</v>
      </c>
      <c r="G28" s="719">
        <v>408.01</v>
      </c>
      <c r="H28" s="719">
        <v>6157.31</v>
      </c>
      <c r="I28" s="1025">
        <v>2076</v>
      </c>
      <c r="J28" s="1026">
        <v>12756</v>
      </c>
      <c r="K28" s="1026">
        <v>4800</v>
      </c>
      <c r="L28" s="1025">
        <v>1500</v>
      </c>
      <c r="M28" s="980">
        <f t="shared" si="1"/>
        <v>75853.320000000007</v>
      </c>
      <c r="N28" s="967">
        <f>I10</f>
        <v>82500</v>
      </c>
      <c r="O28" s="977">
        <f t="shared" si="2"/>
        <v>-6646.679999999993</v>
      </c>
    </row>
    <row r="29" spans="1:23" ht="14.4">
      <c r="A29" s="155">
        <f t="shared" si="0"/>
        <v>2026</v>
      </c>
      <c r="B29" s="1053">
        <f t="shared" si="0"/>
        <v>71</v>
      </c>
      <c r="C29" s="1057">
        <f t="shared" si="0"/>
        <v>71</v>
      </c>
      <c r="D29" s="1026">
        <v>33768</v>
      </c>
      <c r="E29" s="1025">
        <v>14388</v>
      </c>
      <c r="F29" s="982">
        <v>0</v>
      </c>
      <c r="G29" s="719">
        <v>408.01</v>
      </c>
      <c r="H29" s="719">
        <v>6157.31</v>
      </c>
      <c r="I29" s="1025">
        <v>2076</v>
      </c>
      <c r="J29" s="1026">
        <v>12756</v>
      </c>
      <c r="K29" s="1026">
        <v>4800</v>
      </c>
      <c r="L29" s="1025">
        <v>1500</v>
      </c>
      <c r="M29" s="980">
        <f t="shared" si="1"/>
        <v>75853.320000000007</v>
      </c>
      <c r="N29" s="967">
        <f>I10</f>
        <v>82500</v>
      </c>
      <c r="O29" s="977">
        <f t="shared" si="2"/>
        <v>-6646.679999999993</v>
      </c>
    </row>
    <row r="30" spans="1:23" ht="14.4">
      <c r="A30" s="119">
        <f t="shared" si="0"/>
        <v>2027</v>
      </c>
      <c r="B30" s="1054">
        <f t="shared" si="0"/>
        <v>72</v>
      </c>
      <c r="C30" s="1059">
        <f t="shared" si="0"/>
        <v>72</v>
      </c>
      <c r="D30" s="1026">
        <v>33768</v>
      </c>
      <c r="E30" s="1025">
        <v>14388</v>
      </c>
      <c r="F30" s="982">
        <v>0</v>
      </c>
      <c r="G30" s="719">
        <v>408.01</v>
      </c>
      <c r="H30" s="719">
        <v>6157.31</v>
      </c>
      <c r="I30" s="1025">
        <v>2076</v>
      </c>
      <c r="J30" s="1026">
        <v>12756</v>
      </c>
      <c r="K30" s="1026">
        <v>4800</v>
      </c>
      <c r="L30" s="1025">
        <v>1500</v>
      </c>
      <c r="M30" s="980">
        <f t="shared" si="1"/>
        <v>75853.320000000007</v>
      </c>
      <c r="N30" s="967">
        <f>I10</f>
        <v>82500</v>
      </c>
      <c r="O30" s="977">
        <f t="shared" si="2"/>
        <v>-6646.679999999993</v>
      </c>
    </row>
    <row r="31" spans="1:23" ht="14.4">
      <c r="A31" s="119">
        <f t="shared" si="0"/>
        <v>2028</v>
      </c>
      <c r="B31" s="1053">
        <f t="shared" si="0"/>
        <v>73</v>
      </c>
      <c r="C31" s="1057">
        <f t="shared" si="0"/>
        <v>73</v>
      </c>
      <c r="D31" s="1026">
        <v>33768</v>
      </c>
      <c r="E31" s="1025">
        <v>14388</v>
      </c>
      <c r="F31" s="982">
        <v>0</v>
      </c>
      <c r="G31" s="719">
        <v>408.01</v>
      </c>
      <c r="H31" s="719">
        <v>6157.31</v>
      </c>
      <c r="I31" s="1025">
        <v>2076</v>
      </c>
      <c r="J31" s="1026">
        <v>12756</v>
      </c>
      <c r="K31" s="1026">
        <v>4800</v>
      </c>
      <c r="L31" s="1025">
        <v>1500</v>
      </c>
      <c r="M31" s="980">
        <f t="shared" si="1"/>
        <v>75853.320000000007</v>
      </c>
      <c r="N31" s="967">
        <f>I10</f>
        <v>82500</v>
      </c>
      <c r="O31" s="977">
        <f t="shared" si="2"/>
        <v>-6646.679999999993</v>
      </c>
    </row>
    <row r="32" spans="1:23" ht="14.4">
      <c r="A32" s="119">
        <f t="shared" si="0"/>
        <v>2029</v>
      </c>
      <c r="B32" s="1053">
        <f t="shared" si="0"/>
        <v>74</v>
      </c>
      <c r="C32" s="1057">
        <f t="shared" si="0"/>
        <v>74</v>
      </c>
      <c r="D32" s="1026">
        <v>33768</v>
      </c>
      <c r="E32" s="1025">
        <v>14388</v>
      </c>
      <c r="F32" s="982">
        <v>0</v>
      </c>
      <c r="G32" s="719">
        <v>408.01</v>
      </c>
      <c r="H32" s="719">
        <v>6157.31</v>
      </c>
      <c r="I32" s="1025">
        <v>2076</v>
      </c>
      <c r="J32" s="1026">
        <v>12756</v>
      </c>
      <c r="K32" s="1026">
        <v>4800</v>
      </c>
      <c r="L32" s="1025">
        <v>1500</v>
      </c>
      <c r="M32" s="980">
        <f t="shared" si="1"/>
        <v>75853.320000000007</v>
      </c>
      <c r="N32" s="967">
        <f>I10</f>
        <v>82500</v>
      </c>
      <c r="O32" s="977">
        <f t="shared" si="2"/>
        <v>-6646.679999999993</v>
      </c>
    </row>
    <row r="33" spans="1:15" ht="14.4">
      <c r="A33" s="119">
        <f t="shared" si="0"/>
        <v>2030</v>
      </c>
      <c r="B33" s="1053">
        <f t="shared" si="0"/>
        <v>75</v>
      </c>
      <c r="C33" s="1057">
        <f t="shared" si="0"/>
        <v>75</v>
      </c>
      <c r="D33" s="1026">
        <v>33768</v>
      </c>
      <c r="E33" s="1025">
        <v>14388</v>
      </c>
      <c r="F33" s="982">
        <v>0</v>
      </c>
      <c r="G33" s="719">
        <v>408.01</v>
      </c>
      <c r="H33" s="719">
        <v>6157.31</v>
      </c>
      <c r="I33" s="1025">
        <v>2076</v>
      </c>
      <c r="J33" s="1026">
        <v>12756</v>
      </c>
      <c r="K33" s="1026">
        <v>4800</v>
      </c>
      <c r="L33" s="1025">
        <v>1500</v>
      </c>
      <c r="M33" s="980">
        <f t="shared" si="1"/>
        <v>75853.320000000007</v>
      </c>
      <c r="N33" s="967">
        <f>I10</f>
        <v>82500</v>
      </c>
      <c r="O33" s="977">
        <f t="shared" si="2"/>
        <v>-6646.679999999993</v>
      </c>
    </row>
    <row r="34" spans="1:15" ht="14.4">
      <c r="A34" s="119">
        <f t="shared" si="0"/>
        <v>2031</v>
      </c>
      <c r="B34" s="1053">
        <f t="shared" si="0"/>
        <v>76</v>
      </c>
      <c r="C34" s="1057">
        <f t="shared" si="0"/>
        <v>76</v>
      </c>
      <c r="D34" s="1026">
        <v>33768</v>
      </c>
      <c r="E34" s="1025">
        <v>14388</v>
      </c>
      <c r="F34" s="982">
        <v>0</v>
      </c>
      <c r="G34" s="719">
        <v>408.01</v>
      </c>
      <c r="H34" s="719">
        <v>6157.31</v>
      </c>
      <c r="I34" s="982">
        <v>0</v>
      </c>
      <c r="J34" s="1026">
        <v>12756</v>
      </c>
      <c r="K34" s="1026">
        <v>4800</v>
      </c>
      <c r="L34" s="1025">
        <v>1500</v>
      </c>
      <c r="M34" s="980">
        <f t="shared" si="1"/>
        <v>73777.320000000007</v>
      </c>
      <c r="N34" s="967">
        <f>I10</f>
        <v>82500</v>
      </c>
      <c r="O34" s="977">
        <f t="shared" si="2"/>
        <v>-8722.679999999993</v>
      </c>
    </row>
    <row r="35" spans="1:15" ht="14.4">
      <c r="A35" s="119">
        <f t="shared" si="0"/>
        <v>2032</v>
      </c>
      <c r="B35" s="1053">
        <f t="shared" si="0"/>
        <v>77</v>
      </c>
      <c r="C35" s="1057">
        <f t="shared" si="0"/>
        <v>77</v>
      </c>
      <c r="D35" s="1026">
        <v>33768</v>
      </c>
      <c r="E35" s="1025">
        <v>14388</v>
      </c>
      <c r="F35" s="982">
        <v>0</v>
      </c>
      <c r="G35" s="719">
        <v>408.01</v>
      </c>
      <c r="H35" s="719">
        <v>6157.31</v>
      </c>
      <c r="I35" s="982">
        <v>0</v>
      </c>
      <c r="J35" s="1026">
        <v>12756</v>
      </c>
      <c r="K35" s="1026">
        <v>4800</v>
      </c>
      <c r="L35" s="1025">
        <v>1500</v>
      </c>
      <c r="M35" s="980">
        <f t="shared" si="1"/>
        <v>73777.320000000007</v>
      </c>
      <c r="N35" s="967">
        <f>I10</f>
        <v>82500</v>
      </c>
      <c r="O35" s="977">
        <f t="shared" si="2"/>
        <v>-8722.679999999993</v>
      </c>
    </row>
    <row r="36" spans="1:15" ht="14.4">
      <c r="A36" s="119">
        <f t="shared" si="0"/>
        <v>2033</v>
      </c>
      <c r="B36" s="1053">
        <f t="shared" si="0"/>
        <v>78</v>
      </c>
      <c r="C36" s="1057">
        <f t="shared" si="0"/>
        <v>78</v>
      </c>
      <c r="D36" s="1026">
        <v>33768</v>
      </c>
      <c r="E36" s="1025">
        <v>14388</v>
      </c>
      <c r="F36" s="982">
        <v>0</v>
      </c>
      <c r="G36" s="719">
        <v>408.01</v>
      </c>
      <c r="H36" s="719">
        <v>6157.31</v>
      </c>
      <c r="I36" s="982">
        <v>0</v>
      </c>
      <c r="J36" s="1026">
        <v>12756</v>
      </c>
      <c r="K36" s="1026">
        <v>4800</v>
      </c>
      <c r="L36" s="1025">
        <v>1500</v>
      </c>
      <c r="M36" s="980">
        <f t="shared" si="1"/>
        <v>73777.320000000007</v>
      </c>
      <c r="N36" s="967">
        <f>I10</f>
        <v>82500</v>
      </c>
      <c r="O36" s="977">
        <f t="shared" si="2"/>
        <v>-8722.679999999993</v>
      </c>
    </row>
    <row r="37" spans="1:15" ht="14.4">
      <c r="A37" s="119">
        <f t="shared" si="0"/>
        <v>2034</v>
      </c>
      <c r="B37" s="1053">
        <f t="shared" si="0"/>
        <v>79</v>
      </c>
      <c r="C37" s="1057">
        <f t="shared" si="0"/>
        <v>79</v>
      </c>
      <c r="D37" s="1026">
        <v>33768</v>
      </c>
      <c r="E37" s="1025">
        <v>14388</v>
      </c>
      <c r="F37" s="982">
        <v>0</v>
      </c>
      <c r="G37" s="719">
        <v>408.01</v>
      </c>
      <c r="H37" s="719">
        <v>6157.31</v>
      </c>
      <c r="I37" s="982">
        <v>0</v>
      </c>
      <c r="J37" s="1026">
        <v>12756</v>
      </c>
      <c r="K37" s="1026">
        <v>4800</v>
      </c>
      <c r="L37" s="1025">
        <v>1500</v>
      </c>
      <c r="M37" s="980">
        <f t="shared" si="1"/>
        <v>73777.320000000007</v>
      </c>
      <c r="N37" s="967">
        <f>I10</f>
        <v>82500</v>
      </c>
      <c r="O37" s="977">
        <f t="shared" si="2"/>
        <v>-8722.679999999993</v>
      </c>
    </row>
    <row r="38" spans="1:15" ht="14.4">
      <c r="A38" s="155">
        <f t="shared" si="0"/>
        <v>2035</v>
      </c>
      <c r="B38" s="1053">
        <f t="shared" si="0"/>
        <v>80</v>
      </c>
      <c r="C38" s="1061">
        <f t="shared" si="0"/>
        <v>80</v>
      </c>
      <c r="D38" s="1026">
        <v>33768</v>
      </c>
      <c r="E38" s="1025">
        <v>14388</v>
      </c>
      <c r="F38" s="982">
        <v>0</v>
      </c>
      <c r="G38" s="719">
        <v>408.01</v>
      </c>
      <c r="H38" s="719">
        <v>6157.31</v>
      </c>
      <c r="I38" s="982">
        <v>0</v>
      </c>
      <c r="J38" s="1026">
        <v>12756</v>
      </c>
      <c r="K38" s="1026">
        <v>4800</v>
      </c>
      <c r="L38" s="1025">
        <v>1500</v>
      </c>
      <c r="M38" s="980">
        <f t="shared" si="1"/>
        <v>73777.320000000007</v>
      </c>
      <c r="N38" s="967">
        <f>I10</f>
        <v>82500</v>
      </c>
      <c r="O38" s="977">
        <f t="shared" si="2"/>
        <v>-8722.679999999993</v>
      </c>
    </row>
    <row r="39" spans="1:15" ht="14.4">
      <c r="A39" s="119">
        <f t="shared" si="0"/>
        <v>2036</v>
      </c>
      <c r="B39" s="1054">
        <f t="shared" si="0"/>
        <v>81</v>
      </c>
      <c r="C39" s="1057">
        <f t="shared" si="0"/>
        <v>81</v>
      </c>
      <c r="D39" s="1026">
        <v>33768</v>
      </c>
      <c r="E39" s="1025">
        <v>14388</v>
      </c>
      <c r="F39" s="982">
        <v>0</v>
      </c>
      <c r="G39" s="719">
        <v>408.01</v>
      </c>
      <c r="H39" s="719">
        <v>6157.31</v>
      </c>
      <c r="I39" s="982">
        <v>0</v>
      </c>
      <c r="J39" s="1026">
        <v>12756</v>
      </c>
      <c r="K39" s="1026">
        <v>4800</v>
      </c>
      <c r="L39" s="1025">
        <v>1500</v>
      </c>
      <c r="M39" s="980">
        <f t="shared" si="1"/>
        <v>73777.320000000007</v>
      </c>
      <c r="N39" s="967">
        <f>I10</f>
        <v>82500</v>
      </c>
      <c r="O39" s="977">
        <f t="shared" si="2"/>
        <v>-8722.679999999993</v>
      </c>
    </row>
    <row r="40" spans="1:15" ht="14.4">
      <c r="A40" s="119">
        <f t="shared" ref="A40:C52" si="3">A39+1</f>
        <v>2037</v>
      </c>
      <c r="B40" s="1053">
        <f t="shared" si="3"/>
        <v>82</v>
      </c>
      <c r="C40" s="1057">
        <f t="shared" si="3"/>
        <v>82</v>
      </c>
      <c r="D40" s="1026">
        <v>33768</v>
      </c>
      <c r="E40" s="1025">
        <v>14388</v>
      </c>
      <c r="F40" s="982">
        <v>0</v>
      </c>
      <c r="G40" s="719">
        <v>408.01</v>
      </c>
      <c r="H40" s="719">
        <v>6157.31</v>
      </c>
      <c r="I40" s="982">
        <v>0</v>
      </c>
      <c r="J40" s="1026">
        <v>12756</v>
      </c>
      <c r="K40" s="1026">
        <v>4800</v>
      </c>
      <c r="L40" s="1025">
        <v>1500</v>
      </c>
      <c r="M40" s="980">
        <f t="shared" si="1"/>
        <v>73777.320000000007</v>
      </c>
      <c r="N40" s="967">
        <f>I10</f>
        <v>82500</v>
      </c>
      <c r="O40" s="977">
        <f>M40-N41</f>
        <v>-8722.679999999993</v>
      </c>
    </row>
    <row r="41" spans="1:15" ht="14.4">
      <c r="A41" s="119">
        <f>A40+1</f>
        <v>2038</v>
      </c>
      <c r="B41" s="1053">
        <f>B40+1</f>
        <v>83</v>
      </c>
      <c r="C41" s="1057">
        <f>C40+1</f>
        <v>83</v>
      </c>
      <c r="D41" s="1026">
        <v>33768</v>
      </c>
      <c r="E41" s="1025">
        <v>14388</v>
      </c>
      <c r="F41" s="982">
        <v>0</v>
      </c>
      <c r="G41" s="719">
        <v>408.01</v>
      </c>
      <c r="H41" s="719">
        <v>6157.31</v>
      </c>
      <c r="I41" s="982">
        <v>0</v>
      </c>
      <c r="J41" s="1026">
        <v>12756</v>
      </c>
      <c r="K41" s="1026">
        <v>4800</v>
      </c>
      <c r="L41" s="1025">
        <v>1500</v>
      </c>
      <c r="M41" s="981">
        <f t="shared" ref="M41:M57" si="4">SUM(D41+E41+F41+G41+H41+I41+J41+L41)</f>
        <v>68977.320000000007</v>
      </c>
      <c r="N41" s="967">
        <f>I10</f>
        <v>82500</v>
      </c>
      <c r="O41" s="977">
        <f t="shared" si="2"/>
        <v>-13522.679999999993</v>
      </c>
    </row>
    <row r="42" spans="1:15" ht="14.4">
      <c r="A42" s="119">
        <f t="shared" si="3"/>
        <v>2039</v>
      </c>
      <c r="B42" s="1053">
        <f t="shared" si="3"/>
        <v>84</v>
      </c>
      <c r="C42" s="1057">
        <f t="shared" si="3"/>
        <v>84</v>
      </c>
      <c r="D42" s="1026">
        <v>33768</v>
      </c>
      <c r="E42" s="1025">
        <v>14388</v>
      </c>
      <c r="F42" s="982">
        <v>0</v>
      </c>
      <c r="G42" s="719">
        <v>408.01</v>
      </c>
      <c r="H42" s="719">
        <v>6157.31</v>
      </c>
      <c r="I42" s="982">
        <v>0</v>
      </c>
      <c r="J42" s="1026">
        <v>12756</v>
      </c>
      <c r="K42" s="1026">
        <v>4800</v>
      </c>
      <c r="L42" s="1025">
        <v>1500</v>
      </c>
      <c r="M42" s="982">
        <f t="shared" si="4"/>
        <v>68977.320000000007</v>
      </c>
      <c r="N42" s="967">
        <f>I10</f>
        <v>82500</v>
      </c>
      <c r="O42" s="977">
        <f t="shared" si="2"/>
        <v>-13522.679999999993</v>
      </c>
    </row>
    <row r="43" spans="1:15" ht="14.4">
      <c r="A43" s="119">
        <f t="shared" si="3"/>
        <v>2040</v>
      </c>
      <c r="B43" s="1053">
        <f t="shared" si="3"/>
        <v>85</v>
      </c>
      <c r="C43" s="1057">
        <f t="shared" si="3"/>
        <v>85</v>
      </c>
      <c r="D43" s="1026">
        <v>33768</v>
      </c>
      <c r="E43" s="1025">
        <v>14388</v>
      </c>
      <c r="F43" s="982">
        <v>0</v>
      </c>
      <c r="G43" s="719">
        <v>408.01</v>
      </c>
      <c r="H43" s="719">
        <v>6157.31</v>
      </c>
      <c r="I43" s="982">
        <v>0</v>
      </c>
      <c r="J43" s="1026">
        <v>12756</v>
      </c>
      <c r="K43" s="1026">
        <v>4800</v>
      </c>
      <c r="L43" s="1025">
        <v>1500</v>
      </c>
      <c r="M43" s="980">
        <f t="shared" si="4"/>
        <v>68977.320000000007</v>
      </c>
      <c r="N43" s="967">
        <f>I10</f>
        <v>82500</v>
      </c>
      <c r="O43" s="977">
        <f t="shared" si="2"/>
        <v>-13522.679999999993</v>
      </c>
    </row>
    <row r="44" spans="1:15" ht="14.4">
      <c r="A44" s="119">
        <f t="shared" si="3"/>
        <v>2041</v>
      </c>
      <c r="B44" s="1053">
        <f t="shared" si="3"/>
        <v>86</v>
      </c>
      <c r="C44" s="1057">
        <f t="shared" si="3"/>
        <v>86</v>
      </c>
      <c r="D44" s="1026">
        <v>33768</v>
      </c>
      <c r="E44" s="1025">
        <v>14388</v>
      </c>
      <c r="F44" s="982">
        <v>0</v>
      </c>
      <c r="G44" s="719">
        <v>408.01</v>
      </c>
      <c r="H44" s="719">
        <v>6157.31</v>
      </c>
      <c r="I44" s="982">
        <v>0</v>
      </c>
      <c r="J44" s="1026">
        <v>12756</v>
      </c>
      <c r="K44" s="1026">
        <v>4800</v>
      </c>
      <c r="L44" s="1025">
        <v>1500</v>
      </c>
      <c r="M44" s="980">
        <f t="shared" si="4"/>
        <v>68977.320000000007</v>
      </c>
      <c r="N44" s="967">
        <f>I10</f>
        <v>82500</v>
      </c>
      <c r="O44" s="977">
        <f>M44-N49</f>
        <v>-13522.679999999993</v>
      </c>
    </row>
    <row r="45" spans="1:15" ht="12.45">
      <c r="A45" s="1946"/>
      <c r="B45" s="1947"/>
      <c r="C45" s="1947"/>
      <c r="D45" s="1947"/>
      <c r="E45" s="1947"/>
      <c r="F45" s="1947"/>
      <c r="G45" s="1947"/>
      <c r="H45" s="1947"/>
      <c r="I45" s="1947"/>
      <c r="J45" s="1947"/>
      <c r="K45" s="1947"/>
      <c r="L45" s="1947"/>
      <c r="M45" s="1947"/>
      <c r="N45" s="1947"/>
      <c r="O45" s="1948"/>
    </row>
    <row r="46" spans="1:15" ht="23.6">
      <c r="A46" s="1924" t="s">
        <v>391</v>
      </c>
      <c r="B46" s="1925"/>
      <c r="C46" s="1925"/>
      <c r="D46" s="1925"/>
      <c r="E46" s="1925"/>
      <c r="F46" s="1925"/>
      <c r="G46" s="1925"/>
      <c r="H46" s="1925"/>
      <c r="I46" s="1925"/>
      <c r="J46" s="1925"/>
      <c r="K46" s="1925"/>
      <c r="L46" s="1925"/>
      <c r="M46" s="1925"/>
      <c r="N46" s="1925"/>
      <c r="O46" s="1925"/>
    </row>
    <row r="47" spans="1:15" ht="12.45">
      <c r="A47" s="1926"/>
      <c r="B47" s="1927"/>
      <c r="C47" s="1927"/>
      <c r="D47" s="1927"/>
      <c r="E47" s="1927"/>
      <c r="F47" s="1927"/>
      <c r="G47" s="1927"/>
      <c r="H47" s="1927"/>
      <c r="I47" s="1927"/>
      <c r="J47" s="1927"/>
      <c r="K47" s="1927"/>
      <c r="L47" s="1927"/>
      <c r="M47" s="1927"/>
      <c r="N47" s="1927"/>
      <c r="O47" s="1928"/>
    </row>
    <row r="48" spans="1:15" ht="18.350000000000001">
      <c r="A48" s="1881" t="s">
        <v>392</v>
      </c>
      <c r="B48" s="1882"/>
      <c r="C48" s="1882"/>
      <c r="D48" s="1882"/>
      <c r="E48" s="1882"/>
      <c r="F48" s="1882"/>
      <c r="G48" s="1882"/>
      <c r="H48" s="1882"/>
      <c r="I48" s="1882"/>
      <c r="J48" s="1882"/>
      <c r="K48" s="1882"/>
      <c r="L48" s="1882"/>
      <c r="M48" s="1882"/>
      <c r="N48" s="1882"/>
      <c r="O48" s="1883"/>
    </row>
    <row r="49" spans="1:16" ht="14.4">
      <c r="A49" s="1055">
        <f>A44+1</f>
        <v>2042</v>
      </c>
      <c r="B49" s="1056">
        <f>B44+1</f>
        <v>87</v>
      </c>
      <c r="C49" s="1062">
        <f>C44+1</f>
        <v>87</v>
      </c>
      <c r="D49" s="1026">
        <v>33768</v>
      </c>
      <c r="E49" s="982">
        <v>0</v>
      </c>
      <c r="F49" s="982">
        <v>0</v>
      </c>
      <c r="G49" s="719">
        <v>408.01</v>
      </c>
      <c r="H49" s="719">
        <v>6157.31</v>
      </c>
      <c r="I49" s="982">
        <v>0</v>
      </c>
      <c r="J49" s="1026">
        <v>12758</v>
      </c>
      <c r="K49" s="1026">
        <v>4800</v>
      </c>
      <c r="L49" s="1025">
        <v>1500</v>
      </c>
      <c r="M49" s="1025">
        <f t="shared" si="4"/>
        <v>54591.32</v>
      </c>
      <c r="N49" s="967">
        <f>I10</f>
        <v>82500</v>
      </c>
      <c r="O49" s="977">
        <f t="shared" si="2"/>
        <v>-27908.68</v>
      </c>
    </row>
    <row r="50" spans="1:16" ht="14.4">
      <c r="A50" s="119">
        <f t="shared" si="3"/>
        <v>2043</v>
      </c>
      <c r="B50" s="1054">
        <f t="shared" si="3"/>
        <v>88</v>
      </c>
      <c r="C50" s="1057">
        <f t="shared" si="3"/>
        <v>88</v>
      </c>
      <c r="D50" s="1026">
        <v>33768</v>
      </c>
      <c r="E50" s="982">
        <v>0</v>
      </c>
      <c r="F50" s="982">
        <v>0</v>
      </c>
      <c r="G50" s="719">
        <v>408.01</v>
      </c>
      <c r="H50" s="719">
        <v>6157.31</v>
      </c>
      <c r="I50" s="982">
        <v>0</v>
      </c>
      <c r="J50" s="1026">
        <v>12758</v>
      </c>
      <c r="K50" s="1026">
        <v>4800</v>
      </c>
      <c r="L50" s="1025">
        <v>1500</v>
      </c>
      <c r="M50" s="1025">
        <f t="shared" si="4"/>
        <v>54591.32</v>
      </c>
      <c r="N50" s="967">
        <f>I10</f>
        <v>82500</v>
      </c>
      <c r="O50" s="977">
        <f t="shared" si="2"/>
        <v>-27908.68</v>
      </c>
    </row>
    <row r="51" spans="1:16" ht="14.4">
      <c r="A51" s="119">
        <f t="shared" si="3"/>
        <v>2044</v>
      </c>
      <c r="B51" s="1053">
        <f t="shared" si="3"/>
        <v>89</v>
      </c>
      <c r="C51" s="1057">
        <f t="shared" si="3"/>
        <v>89</v>
      </c>
      <c r="D51" s="1026">
        <v>33768</v>
      </c>
      <c r="E51" s="982">
        <v>0</v>
      </c>
      <c r="F51" s="982">
        <v>0</v>
      </c>
      <c r="G51" s="719">
        <v>408.01</v>
      </c>
      <c r="H51" s="719">
        <v>6157.31</v>
      </c>
      <c r="I51" s="982">
        <v>0</v>
      </c>
      <c r="J51" s="1026">
        <v>12758</v>
      </c>
      <c r="K51" s="1026">
        <v>4800</v>
      </c>
      <c r="L51" s="1025">
        <v>1500</v>
      </c>
      <c r="M51" s="1025">
        <f t="shared" si="4"/>
        <v>54591.32</v>
      </c>
      <c r="N51" s="967">
        <f>I10</f>
        <v>82500</v>
      </c>
      <c r="O51" s="977">
        <f t="shared" si="2"/>
        <v>-27908.68</v>
      </c>
    </row>
    <row r="52" spans="1:16" ht="14.4">
      <c r="A52" s="144">
        <f t="shared" si="3"/>
        <v>2045</v>
      </c>
      <c r="B52" s="1052">
        <f t="shared" si="3"/>
        <v>90</v>
      </c>
      <c r="C52" s="1060">
        <f t="shared" si="3"/>
        <v>90</v>
      </c>
      <c r="D52" s="1026">
        <v>33768</v>
      </c>
      <c r="E52" s="1050">
        <v>0</v>
      </c>
      <c r="F52" s="1050">
        <v>0</v>
      </c>
      <c r="G52" s="719">
        <v>408.01</v>
      </c>
      <c r="H52" s="719">
        <v>6157.31</v>
      </c>
      <c r="I52" s="1050">
        <v>0</v>
      </c>
      <c r="J52" s="1026">
        <v>12758</v>
      </c>
      <c r="K52" s="1026">
        <v>4800</v>
      </c>
      <c r="L52" s="1025">
        <v>1500</v>
      </c>
      <c r="M52" s="1025">
        <f t="shared" si="4"/>
        <v>54591.32</v>
      </c>
      <c r="N52" s="984">
        <f>I10</f>
        <v>82500</v>
      </c>
      <c r="O52" s="985">
        <f>M52-N54</f>
        <v>-27908.68</v>
      </c>
    </row>
    <row r="53" spans="1:16" s="89" customFormat="1" ht="18.350000000000001">
      <c r="A53" s="1884" t="s">
        <v>393</v>
      </c>
      <c r="B53" s="1885"/>
      <c r="C53" s="1885"/>
      <c r="D53" s="1885"/>
      <c r="E53" s="1885"/>
      <c r="F53" s="1885"/>
      <c r="G53" s="1885"/>
      <c r="H53" s="1885"/>
      <c r="I53" s="1885"/>
      <c r="J53" s="1885"/>
      <c r="K53" s="1885"/>
      <c r="L53" s="1885"/>
      <c r="M53" s="1885"/>
      <c r="N53" s="1885"/>
      <c r="O53" s="1886"/>
      <c r="P53" s="208"/>
    </row>
    <row r="54" spans="1:16" ht="14.4">
      <c r="A54" s="137">
        <f>A52+1</f>
        <v>2046</v>
      </c>
      <c r="B54" s="1063">
        <f>B52+1</f>
        <v>91</v>
      </c>
      <c r="C54" s="1064">
        <f>C52+1</f>
        <v>91</v>
      </c>
      <c r="D54" s="1090">
        <v>33768</v>
      </c>
      <c r="E54" s="982">
        <v>0</v>
      </c>
      <c r="F54" s="982">
        <v>0</v>
      </c>
      <c r="G54" s="719">
        <v>408.01</v>
      </c>
      <c r="H54" s="719">
        <v>6157.31</v>
      </c>
      <c r="I54" s="982">
        <v>0</v>
      </c>
      <c r="J54" s="1026">
        <v>12758</v>
      </c>
      <c r="K54" s="1026">
        <v>4800</v>
      </c>
      <c r="L54" s="982">
        <v>0</v>
      </c>
      <c r="M54" s="1026">
        <f t="shared" si="4"/>
        <v>53091.32</v>
      </c>
      <c r="N54" s="967">
        <f>I10</f>
        <v>82500</v>
      </c>
      <c r="O54" s="977">
        <f>M54-N55</f>
        <v>-29408.68</v>
      </c>
    </row>
    <row r="55" spans="1:16" ht="13.1" customHeight="1">
      <c r="A55" s="137">
        <f t="shared" ref="A55:C57" si="5">A54+1</f>
        <v>2047</v>
      </c>
      <c r="B55" s="1054">
        <f t="shared" si="5"/>
        <v>92</v>
      </c>
      <c r="C55" s="1059">
        <f t="shared" si="5"/>
        <v>92</v>
      </c>
      <c r="D55" s="1090">
        <v>33768</v>
      </c>
      <c r="E55" s="982">
        <v>0</v>
      </c>
      <c r="F55" s="982">
        <v>0</v>
      </c>
      <c r="G55" s="719">
        <v>408.01</v>
      </c>
      <c r="H55" s="719">
        <v>6157.31</v>
      </c>
      <c r="I55" s="982">
        <v>0</v>
      </c>
      <c r="J55" s="1026">
        <v>12758</v>
      </c>
      <c r="K55" s="1026">
        <v>4800</v>
      </c>
      <c r="L55" s="982">
        <v>0</v>
      </c>
      <c r="M55" s="1026">
        <f t="shared" si="4"/>
        <v>53091.32</v>
      </c>
      <c r="N55" s="967">
        <f>I10</f>
        <v>82500</v>
      </c>
      <c r="O55" s="977">
        <f>M55-N55</f>
        <v>-29408.68</v>
      </c>
    </row>
    <row r="56" spans="1:16" ht="13.1" customHeight="1">
      <c r="A56" s="137">
        <f t="shared" si="5"/>
        <v>2048</v>
      </c>
      <c r="B56" s="1054">
        <f t="shared" si="5"/>
        <v>93</v>
      </c>
      <c r="C56" s="1059">
        <f t="shared" si="5"/>
        <v>93</v>
      </c>
      <c r="D56" s="1090">
        <v>33768</v>
      </c>
      <c r="E56" s="982">
        <v>0</v>
      </c>
      <c r="F56" s="982">
        <v>0</v>
      </c>
      <c r="G56" s="719">
        <v>408.01</v>
      </c>
      <c r="H56" s="719">
        <v>6157.31</v>
      </c>
      <c r="I56" s="982">
        <v>0</v>
      </c>
      <c r="J56" s="1026">
        <v>12758</v>
      </c>
      <c r="K56" s="1026">
        <v>4800</v>
      </c>
      <c r="L56" s="982">
        <v>0</v>
      </c>
      <c r="M56" s="1026">
        <f t="shared" si="4"/>
        <v>53091.32</v>
      </c>
      <c r="N56" s="967">
        <f>I10</f>
        <v>82500</v>
      </c>
      <c r="O56" s="977">
        <f t="shared" ref="O56:O57" si="6">M56-N56</f>
        <v>-29408.68</v>
      </c>
    </row>
    <row r="57" spans="1:16" ht="13.1" customHeight="1">
      <c r="A57" s="137">
        <f t="shared" si="5"/>
        <v>2049</v>
      </c>
      <c r="B57" s="1054">
        <f t="shared" si="5"/>
        <v>94</v>
      </c>
      <c r="C57" s="1059">
        <f t="shared" si="5"/>
        <v>94</v>
      </c>
      <c r="D57" s="1090">
        <v>33768</v>
      </c>
      <c r="E57" s="982">
        <v>0</v>
      </c>
      <c r="F57" s="982">
        <v>0</v>
      </c>
      <c r="G57" s="719">
        <v>408.01</v>
      </c>
      <c r="H57" s="719">
        <v>6157.31</v>
      </c>
      <c r="I57" s="982">
        <v>0</v>
      </c>
      <c r="J57" s="1026">
        <v>12758</v>
      </c>
      <c r="K57" s="1026">
        <v>4800</v>
      </c>
      <c r="L57" s="982">
        <v>0</v>
      </c>
      <c r="M57" s="1026">
        <f t="shared" si="4"/>
        <v>53091.32</v>
      </c>
      <c r="N57" s="967">
        <f>I10</f>
        <v>82500</v>
      </c>
      <c r="O57" s="977">
        <f t="shared" si="6"/>
        <v>-29408.68</v>
      </c>
    </row>
    <row r="58" spans="1:16" ht="12.45">
      <c r="A58" s="1917"/>
      <c r="B58" s="1917"/>
      <c r="C58" s="1917"/>
      <c r="D58" s="1917"/>
      <c r="E58" s="1917"/>
      <c r="F58" s="1917"/>
      <c r="G58" s="1917"/>
      <c r="H58" s="1917"/>
      <c r="I58" s="1917"/>
      <c r="J58" s="1917"/>
      <c r="K58" s="1917"/>
      <c r="L58" s="1917"/>
      <c r="M58" s="1917"/>
      <c r="N58" s="1917"/>
      <c r="O58" s="1918"/>
    </row>
    <row r="59" spans="1:16" ht="23.6">
      <c r="A59" s="1775" t="s">
        <v>69</v>
      </c>
      <c r="B59" s="1775"/>
      <c r="C59" s="1775"/>
      <c r="D59" s="1775"/>
      <c r="E59" s="1775"/>
      <c r="F59" s="1775"/>
      <c r="G59" s="1775"/>
      <c r="H59" s="1775"/>
      <c r="I59" s="1775"/>
      <c r="J59" s="1775"/>
      <c r="K59" s="1775"/>
      <c r="L59" s="1775"/>
      <c r="M59" s="1775"/>
      <c r="N59" s="1775"/>
      <c r="O59" s="1775"/>
    </row>
    <row r="61" spans="1:16">
      <c r="A61" s="1540" t="s">
        <v>70</v>
      </c>
      <c r="B61" s="1540"/>
      <c r="C61" s="1540"/>
      <c r="D61" s="1540"/>
      <c r="E61" s="1540"/>
      <c r="F61" s="1540"/>
      <c r="G61" s="1540"/>
      <c r="H61" s="1540"/>
      <c r="I61" s="1540"/>
      <c r="J61" s="1540"/>
      <c r="K61" s="1540"/>
      <c r="L61" s="1540"/>
      <c r="M61" s="1540"/>
      <c r="N61" s="1540"/>
      <c r="O61" s="1540"/>
    </row>
    <row r="62" spans="1:16" ht="12.45">
      <c r="A62" s="1540" t="s">
        <v>71</v>
      </c>
      <c r="B62" s="1540"/>
      <c r="C62" s="1540"/>
      <c r="D62" s="1540"/>
      <c r="E62" s="1540"/>
      <c r="F62" s="1540"/>
      <c r="G62" s="1540"/>
      <c r="H62" s="1540"/>
      <c r="I62" s="1540"/>
      <c r="J62" s="1540"/>
      <c r="K62" s="1540"/>
      <c r="L62" s="1540"/>
      <c r="M62" s="1540"/>
      <c r="N62" s="1540"/>
      <c r="O62" s="1540"/>
    </row>
  </sheetData>
  <mergeCells count="33">
    <mergeCell ref="A10:D10"/>
    <mergeCell ref="J10:N10"/>
    <mergeCell ref="A7:C7"/>
    <mergeCell ref="E7:F7"/>
    <mergeCell ref="A1:D1"/>
    <mergeCell ref="F1:H1"/>
    <mergeCell ref="J1:L1"/>
    <mergeCell ref="A6:C6"/>
    <mergeCell ref="E6:F6"/>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61:O61"/>
    <mergeCell ref="A62:O62"/>
    <mergeCell ref="A45:O45"/>
    <mergeCell ref="A46:O46"/>
    <mergeCell ref="A47:O47"/>
    <mergeCell ref="A48:O48"/>
    <mergeCell ref="A53:O53"/>
    <mergeCell ref="A58:O58"/>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971" t="s">
        <v>585</v>
      </c>
      <c r="E1" s="1972"/>
      <c r="F1" s="1972"/>
      <c r="G1" s="1972"/>
      <c r="H1" s="1972"/>
      <c r="I1" s="1972"/>
      <c r="J1" s="1972"/>
      <c r="K1" s="1030" t="s">
        <v>396</v>
      </c>
      <c r="L1" s="1721" t="s">
        <v>397</v>
      </c>
      <c r="M1" s="1721"/>
    </row>
    <row r="2" spans="1:13" ht="24.25">
      <c r="A2" s="296">
        <f>'Egan Asset Summary'!M17</f>
        <v>321628.61</v>
      </c>
      <c r="B2" s="298">
        <v>173000</v>
      </c>
      <c r="C2" s="297">
        <v>4000</v>
      </c>
      <c r="D2" s="1939"/>
      <c r="E2" s="1939"/>
      <c r="F2" s="1939"/>
      <c r="G2" s="1939"/>
      <c r="H2" s="1939"/>
      <c r="I2" s="1939"/>
      <c r="J2" s="1939"/>
      <c r="K2" s="1031" t="s">
        <v>160</v>
      </c>
      <c r="L2" s="1721" t="s">
        <v>398</v>
      </c>
      <c r="M2" s="1721"/>
    </row>
    <row r="3" spans="1:13" ht="26.2">
      <c r="A3" s="34"/>
      <c r="B3" s="118"/>
      <c r="C3" s="35"/>
      <c r="D3" s="1940"/>
      <c r="E3" s="1940"/>
      <c r="F3" s="1940"/>
      <c r="G3" s="1940"/>
      <c r="H3" s="1940"/>
      <c r="I3" s="1940"/>
      <c r="J3" s="1940"/>
      <c r="K3" s="1032" t="s">
        <v>399</v>
      </c>
      <c r="L3" s="1721" t="s">
        <v>400</v>
      </c>
      <c r="M3" s="1721"/>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D3</f>
        <v>0</v>
      </c>
      <c r="K15" s="236">
        <f>D3</f>
        <v>0</v>
      </c>
      <c r="L15" s="236">
        <f>D3</f>
        <v>0</v>
      </c>
      <c r="M15" s="674" t="s">
        <v>85</v>
      </c>
    </row>
    <row r="16" spans="1:13" ht="23.6">
      <c r="I16" s="238" t="s">
        <v>84</v>
      </c>
      <c r="J16" s="682">
        <f>'Alt Cash Flow  Snapshot No Plan'!M31</f>
        <v>40420.221552223491</v>
      </c>
      <c r="K16" s="681" t="e">
        <f>#REF!</f>
        <v>#REF!</v>
      </c>
      <c r="L16" s="684" t="e">
        <f>#REF!</f>
        <v>#REF!</v>
      </c>
      <c r="M16" s="703" t="s">
        <v>87</v>
      </c>
    </row>
    <row r="17" spans="9:14" ht="18.350000000000001">
      <c r="I17" s="634" t="s">
        <v>86</v>
      </c>
      <c r="J17" s="656">
        <f>J15-J16</f>
        <v>-40420.221552223491</v>
      </c>
      <c r="K17" s="261" t="e">
        <f>K15-K16</f>
        <v>#REF!</v>
      </c>
      <c r="L17" s="261" t="e">
        <f>L15-L16</f>
        <v>#REF!</v>
      </c>
      <c r="M17" s="349"/>
    </row>
    <row r="18" spans="9:14" ht="15.05">
      <c r="I18" s="265" t="s">
        <v>88</v>
      </c>
      <c r="J18" s="702" t="s">
        <v>89</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1">
    <mergeCell ref="I9:L9"/>
    <mergeCell ref="D1:J1"/>
    <mergeCell ref="L1:M1"/>
    <mergeCell ref="D2:J2"/>
    <mergeCell ref="L2:M2"/>
    <mergeCell ref="D3:J3"/>
    <mergeCell ref="L3:M3"/>
    <mergeCell ref="I4:M4"/>
    <mergeCell ref="I5:M5"/>
    <mergeCell ref="I6:M6"/>
    <mergeCell ref="I7:M7"/>
    <mergeCell ref="I8:L8"/>
    <mergeCell ref="I23:M23"/>
    <mergeCell ref="I24:M24"/>
    <mergeCell ref="I37:M37"/>
    <mergeCell ref="I10:L10"/>
    <mergeCell ref="I11:M11"/>
    <mergeCell ref="I12:M12"/>
    <mergeCell ref="I13:L13"/>
    <mergeCell ref="I14:J14"/>
    <mergeCell ref="I19:M1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23" width="9.125" style="211"/>
    <col min="24" max="24" width="9.25" style="211" customWidth="1"/>
    <col min="25" max="25" width="9.125" style="211"/>
    <col min="26" max="16384" width="9.125" style="89"/>
  </cols>
  <sheetData>
    <row r="1" spans="1:25" ht="17.7">
      <c r="A1" s="211"/>
      <c r="B1" s="209"/>
      <c r="C1" s="209"/>
      <c r="F1" s="71"/>
      <c r="G1" s="71"/>
      <c r="H1" s="71"/>
      <c r="I1" s="924"/>
      <c r="J1" s="1978" t="s">
        <v>586</v>
      </c>
      <c r="K1" s="1978"/>
      <c r="L1" s="1978"/>
      <c r="M1" s="1978"/>
      <c r="N1" s="686">
        <f>'Cash Flow Income Snapshot'!I6</f>
        <v>52500</v>
      </c>
      <c r="S1" s="89"/>
    </row>
    <row r="2" spans="1:25" ht="20.3">
      <c r="A2" s="211"/>
      <c r="B2" s="209"/>
      <c r="C2" s="710"/>
      <c r="D2" s="595"/>
      <c r="E2" s="925"/>
      <c r="F2" s="1979" t="s">
        <v>587</v>
      </c>
      <c r="G2" s="1979"/>
      <c r="H2" s="1979"/>
      <c r="I2" s="1979"/>
      <c r="J2" s="925"/>
      <c r="K2" s="925"/>
      <c r="L2" s="1980"/>
      <c r="M2" s="1980"/>
      <c r="N2" s="593"/>
    </row>
    <row r="3" spans="1:25" ht="24.05" customHeight="1">
      <c r="A3" s="211"/>
      <c r="B3" s="209"/>
      <c r="C3" s="1981" t="s">
        <v>588</v>
      </c>
      <c r="D3" s="1981"/>
      <c r="E3" s="1981"/>
      <c r="F3" s="1981"/>
      <c r="G3" s="1981"/>
      <c r="H3" s="1981"/>
      <c r="I3" s="1981"/>
      <c r="J3" s="1981"/>
      <c r="K3" s="1981"/>
      <c r="L3" s="1981"/>
      <c r="M3" s="1981"/>
      <c r="N3" s="707">
        <f>'Cash Flow Income Snapshot'!H3</f>
        <v>108000</v>
      </c>
    </row>
    <row r="4" spans="1:25" ht="17.7">
      <c r="A4" s="211"/>
      <c r="B4" s="209"/>
      <c r="C4" s="371"/>
      <c r="D4" s="16"/>
      <c r="E4" s="1982" t="s">
        <v>589</v>
      </c>
      <c r="F4" s="1982"/>
      <c r="G4" s="824">
        <f>'Cash Flow Income Snapshot'!J3</f>
        <v>70</v>
      </c>
      <c r="H4" s="1983" t="s">
        <v>590</v>
      </c>
      <c r="I4" s="1983"/>
      <c r="J4" s="825">
        <f>'Cash Flow Income Snapshot'!J4</f>
        <v>66</v>
      </c>
      <c r="K4" s="16"/>
      <c r="L4" s="16"/>
      <c r="M4" s="16"/>
      <c r="N4" s="596"/>
    </row>
    <row r="5" spans="1:25" ht="15.05">
      <c r="A5" s="211"/>
      <c r="B5" s="209"/>
      <c r="C5" s="599"/>
      <c r="D5" s="1973"/>
      <c r="E5" s="1973"/>
      <c r="F5" s="1973"/>
      <c r="G5" s="1973"/>
      <c r="H5" s="1973"/>
      <c r="I5" s="1973"/>
      <c r="J5" s="1973"/>
      <c r="K5" s="1973"/>
      <c r="L5" s="1973"/>
      <c r="M5" s="687">
        <f>'Egan Asset Summary'!L3</f>
        <v>0</v>
      </c>
      <c r="N5" s="689">
        <f>'Cash Flow Income Snapshot'!I3</f>
        <v>66</v>
      </c>
    </row>
    <row r="6" spans="1:25" ht="15.05">
      <c r="A6" s="211"/>
      <c r="B6" s="209"/>
      <c r="C6" s="599"/>
      <c r="D6" s="1974"/>
      <c r="E6" s="1974"/>
      <c r="F6" s="1974"/>
      <c r="G6" s="1974"/>
      <c r="H6" s="1974"/>
      <c r="I6" s="1974"/>
      <c r="J6" s="1974"/>
      <c r="K6" s="1974"/>
      <c r="L6" s="1974"/>
      <c r="M6" s="688">
        <f>'Egan Asset Summary'!L4</f>
        <v>0</v>
      </c>
      <c r="N6" s="690">
        <f>'Cash Flow Income Snapshot'!I4</f>
        <v>64</v>
      </c>
    </row>
    <row r="7" spans="1:25">
      <c r="A7" s="600"/>
      <c r="B7" s="209"/>
      <c r="C7" s="599"/>
      <c r="D7" s="1975"/>
      <c r="E7" s="1976"/>
      <c r="F7" s="1976"/>
      <c r="G7" s="1976"/>
      <c r="H7" s="1976"/>
      <c r="I7" s="1976"/>
      <c r="J7" s="1976"/>
      <c r="K7" s="1976"/>
      <c r="L7" s="1976"/>
      <c r="N7" s="597"/>
    </row>
    <row r="8" spans="1:25" s="37" customFormat="1" ht="100" customHeight="1">
      <c r="A8" s="212" t="s">
        <v>26</v>
      </c>
      <c r="B8" s="212" t="s">
        <v>591</v>
      </c>
      <c r="C8" s="212" t="s">
        <v>592</v>
      </c>
      <c r="D8" s="683" t="s">
        <v>593</v>
      </c>
      <c r="E8" s="139" t="s">
        <v>594</v>
      </c>
      <c r="F8" s="683" t="s">
        <v>595</v>
      </c>
      <c r="G8" s="139" t="s">
        <v>596</v>
      </c>
      <c r="H8" s="136" t="s">
        <v>386</v>
      </c>
      <c r="I8" s="592"/>
      <c r="J8" s="592"/>
      <c r="K8" s="36"/>
      <c r="L8" s="36"/>
      <c r="M8" s="36"/>
      <c r="N8" s="149"/>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row>
    <row r="10" spans="1:25" ht="100" customHeight="1">
      <c r="A10" s="1532" t="s">
        <v>34</v>
      </c>
      <c r="B10" s="1532"/>
      <c r="C10" s="1977"/>
      <c r="D10" s="668" t="s">
        <v>597</v>
      </c>
      <c r="E10" s="668" t="s">
        <v>598</v>
      </c>
      <c r="F10" s="299" t="s">
        <v>599</v>
      </c>
      <c r="G10" s="299" t="s">
        <v>600</v>
      </c>
      <c r="H10" s="927" t="s">
        <v>601</v>
      </c>
      <c r="I10" s="299"/>
      <c r="J10" s="299"/>
      <c r="K10" s="217"/>
      <c r="L10" s="217"/>
      <c r="M10" s="217"/>
      <c r="N10" s="691" t="s">
        <v>602</v>
      </c>
    </row>
    <row r="11" spans="1:25">
      <c r="A11" s="119">
        <v>2019</v>
      </c>
      <c r="B11" s="155">
        <f>'Cash Flow Income Snapshot'!I3</f>
        <v>66</v>
      </c>
      <c r="C11" s="119">
        <f>'Cash Flow Income Snapshot'!I4</f>
        <v>64</v>
      </c>
      <c r="D11" s="219">
        <v>0</v>
      </c>
      <c r="E11" s="219">
        <v>0</v>
      </c>
      <c r="F11" s="219">
        <v>49000</v>
      </c>
      <c r="G11" s="219">
        <v>125000</v>
      </c>
      <c r="H11" s="219">
        <v>0</v>
      </c>
      <c r="I11" s="219">
        <v>0</v>
      </c>
      <c r="J11" s="219">
        <v>0</v>
      </c>
      <c r="K11" s="219">
        <v>0</v>
      </c>
      <c r="L11" s="219">
        <v>0</v>
      </c>
      <c r="M11" s="219">
        <v>0</v>
      </c>
      <c r="N11" s="190">
        <f t="shared" ref="N11:N38" si="0">SUM(D11:M11)</f>
        <v>174000</v>
      </c>
    </row>
    <row r="12" spans="1:25">
      <c r="A12" s="119">
        <f t="shared" ref="A12:C27" si="1">A11+1</f>
        <v>2020</v>
      </c>
      <c r="B12" s="144">
        <f t="shared" si="1"/>
        <v>67</v>
      </c>
      <c r="C12" s="334">
        <f t="shared" si="1"/>
        <v>65</v>
      </c>
      <c r="D12" s="219">
        <v>0</v>
      </c>
      <c r="E12" s="219">
        <v>0</v>
      </c>
      <c r="F12" s="219">
        <v>49000</v>
      </c>
      <c r="G12" s="219">
        <v>125000</v>
      </c>
      <c r="H12" s="219">
        <v>4255</v>
      </c>
      <c r="I12" s="219">
        <v>0</v>
      </c>
      <c r="J12" s="219">
        <v>0</v>
      </c>
      <c r="K12" s="219">
        <v>0</v>
      </c>
      <c r="L12" s="219">
        <v>0</v>
      </c>
      <c r="M12" s="219">
        <v>0</v>
      </c>
      <c r="N12" s="45">
        <f t="shared" si="0"/>
        <v>178255</v>
      </c>
    </row>
    <row r="13" spans="1:25">
      <c r="A13" s="155">
        <f t="shared" si="1"/>
        <v>2021</v>
      </c>
      <c r="B13" s="119">
        <f t="shared" si="1"/>
        <v>68</v>
      </c>
      <c r="C13" s="119">
        <f t="shared" si="1"/>
        <v>66</v>
      </c>
      <c r="D13" s="219">
        <v>0</v>
      </c>
      <c r="E13" s="219">
        <v>0</v>
      </c>
      <c r="F13" s="219">
        <v>49000</v>
      </c>
      <c r="G13" s="219">
        <v>125000</v>
      </c>
      <c r="H13" s="219">
        <v>10212</v>
      </c>
      <c r="I13" s="219">
        <v>0</v>
      </c>
      <c r="J13" s="219">
        <v>0</v>
      </c>
      <c r="K13" s="219">
        <v>0</v>
      </c>
      <c r="L13" s="219">
        <v>0</v>
      </c>
      <c r="M13" s="219">
        <v>0</v>
      </c>
      <c r="N13" s="45">
        <f t="shared" si="0"/>
        <v>184212</v>
      </c>
    </row>
    <row r="14" spans="1:25">
      <c r="A14" s="119">
        <f t="shared" si="1"/>
        <v>2022</v>
      </c>
      <c r="B14" s="137">
        <f t="shared" si="1"/>
        <v>69</v>
      </c>
      <c r="C14" s="706">
        <f t="shared" si="1"/>
        <v>67</v>
      </c>
      <c r="D14" s="219">
        <v>0</v>
      </c>
      <c r="E14" s="339">
        <v>4700</v>
      </c>
      <c r="F14" s="219">
        <v>49000</v>
      </c>
      <c r="G14" s="940">
        <v>72912</v>
      </c>
      <c r="H14" s="219">
        <v>10212</v>
      </c>
      <c r="I14" s="219">
        <v>0</v>
      </c>
      <c r="J14" s="219">
        <v>0</v>
      </c>
      <c r="K14" s="219">
        <v>0</v>
      </c>
      <c r="L14" s="219">
        <v>0</v>
      </c>
      <c r="M14" s="219">
        <v>0</v>
      </c>
      <c r="N14" s="45">
        <f t="shared" si="0"/>
        <v>136824</v>
      </c>
    </row>
    <row r="15" spans="1:25">
      <c r="A15" s="119">
        <f t="shared" si="1"/>
        <v>2023</v>
      </c>
      <c r="B15" s="119">
        <f t="shared" si="1"/>
        <v>70</v>
      </c>
      <c r="C15" s="119">
        <f t="shared" si="1"/>
        <v>68</v>
      </c>
      <c r="D15" s="219">
        <v>0</v>
      </c>
      <c r="E15" s="339">
        <v>28200</v>
      </c>
      <c r="F15" s="219">
        <v>49000</v>
      </c>
      <c r="G15" s="219">
        <v>0</v>
      </c>
      <c r="H15" s="219">
        <v>10212</v>
      </c>
      <c r="I15" s="219">
        <v>0</v>
      </c>
      <c r="J15" s="219">
        <v>0</v>
      </c>
      <c r="K15" s="219">
        <v>0</v>
      </c>
      <c r="L15" s="219">
        <v>0</v>
      </c>
      <c r="M15" s="219">
        <v>0</v>
      </c>
      <c r="N15" s="45">
        <f t="shared" si="0"/>
        <v>87412</v>
      </c>
    </row>
    <row r="16" spans="1:25">
      <c r="A16" s="119">
        <f t="shared" si="1"/>
        <v>2024</v>
      </c>
      <c r="B16" s="144">
        <f t="shared" si="1"/>
        <v>71</v>
      </c>
      <c r="C16" s="144">
        <f t="shared" si="1"/>
        <v>69</v>
      </c>
      <c r="D16" s="338">
        <v>12750</v>
      </c>
      <c r="E16" s="339">
        <f>E15*1.02</f>
        <v>28764</v>
      </c>
      <c r="F16" s="939">
        <v>28583</v>
      </c>
      <c r="G16" s="219">
        <v>0</v>
      </c>
      <c r="H16" s="219">
        <v>10212</v>
      </c>
      <c r="I16" s="219">
        <v>0</v>
      </c>
      <c r="J16" s="219">
        <v>0</v>
      </c>
      <c r="K16" s="219">
        <v>0</v>
      </c>
      <c r="L16" s="219">
        <v>0</v>
      </c>
      <c r="M16" s="219">
        <v>0</v>
      </c>
      <c r="N16" s="45">
        <f t="shared" si="0"/>
        <v>80309</v>
      </c>
    </row>
    <row r="17" spans="1:14">
      <c r="A17" s="155">
        <f t="shared" si="1"/>
        <v>2025</v>
      </c>
      <c r="B17" s="119">
        <f t="shared" si="1"/>
        <v>72</v>
      </c>
      <c r="C17" s="119">
        <f t="shared" si="1"/>
        <v>70</v>
      </c>
      <c r="D17" s="338">
        <v>30600</v>
      </c>
      <c r="E17" s="339">
        <f t="shared" ref="E17:E38" si="2">E16*1.02</f>
        <v>29339.279999999999</v>
      </c>
      <c r="F17" s="219">
        <v>0</v>
      </c>
      <c r="G17" s="219">
        <v>0</v>
      </c>
      <c r="H17" s="219">
        <v>10212</v>
      </c>
      <c r="I17" s="219">
        <v>0</v>
      </c>
      <c r="J17" s="219">
        <v>0</v>
      </c>
      <c r="K17" s="219">
        <v>0</v>
      </c>
      <c r="L17" s="219">
        <v>0</v>
      </c>
      <c r="M17" s="219">
        <v>0</v>
      </c>
      <c r="N17" s="45">
        <f>SUM(D17:M17)</f>
        <v>70151.28</v>
      </c>
    </row>
    <row r="18" spans="1:14">
      <c r="A18" s="119">
        <f t="shared" si="1"/>
        <v>2026</v>
      </c>
      <c r="B18" s="137">
        <f t="shared" si="1"/>
        <v>73</v>
      </c>
      <c r="C18" s="137">
        <f t="shared" si="1"/>
        <v>71</v>
      </c>
      <c r="D18" s="338">
        <f>D17*1.02</f>
        <v>31212</v>
      </c>
      <c r="E18" s="339">
        <f t="shared" si="2"/>
        <v>29926.065599999998</v>
      </c>
      <c r="F18" s="219">
        <v>0</v>
      </c>
      <c r="G18" s="219">
        <v>0</v>
      </c>
      <c r="H18" s="219">
        <v>10212</v>
      </c>
      <c r="I18" s="219">
        <v>0</v>
      </c>
      <c r="J18" s="219">
        <v>0</v>
      </c>
      <c r="K18" s="219">
        <v>0</v>
      </c>
      <c r="L18" s="219">
        <v>0</v>
      </c>
      <c r="M18" s="219">
        <v>0</v>
      </c>
      <c r="N18" s="45">
        <f t="shared" si="0"/>
        <v>71350.065600000002</v>
      </c>
    </row>
    <row r="19" spans="1:14">
      <c r="A19" s="119">
        <f t="shared" si="1"/>
        <v>2027</v>
      </c>
      <c r="B19" s="119">
        <f t="shared" si="1"/>
        <v>74</v>
      </c>
      <c r="C19" s="119">
        <f t="shared" si="1"/>
        <v>72</v>
      </c>
      <c r="D19" s="338">
        <f t="shared" ref="D19:D38" si="3">D18*1.02</f>
        <v>31836.240000000002</v>
      </c>
      <c r="E19" s="339">
        <f t="shared" si="2"/>
        <v>30524.586911999999</v>
      </c>
      <c r="F19" s="219">
        <v>0</v>
      </c>
      <c r="G19" s="219">
        <v>0</v>
      </c>
      <c r="H19" s="219">
        <v>10212</v>
      </c>
      <c r="I19" s="219">
        <v>0</v>
      </c>
      <c r="J19" s="219">
        <v>0</v>
      </c>
      <c r="K19" s="219">
        <v>0</v>
      </c>
      <c r="L19" s="219">
        <v>0</v>
      </c>
      <c r="M19" s="219">
        <v>0</v>
      </c>
      <c r="N19" s="708">
        <f t="shared" si="0"/>
        <v>72572.826912000004</v>
      </c>
    </row>
    <row r="20" spans="1:14">
      <c r="A20" s="119">
        <f t="shared" si="1"/>
        <v>2028</v>
      </c>
      <c r="B20" s="119">
        <f t="shared" si="1"/>
        <v>75</v>
      </c>
      <c r="C20" s="119">
        <f t="shared" si="1"/>
        <v>73</v>
      </c>
      <c r="D20" s="338">
        <f t="shared" si="3"/>
        <v>32472.964800000002</v>
      </c>
      <c r="E20" s="339">
        <f t="shared" si="2"/>
        <v>31135.078650240001</v>
      </c>
      <c r="F20" s="219">
        <v>0</v>
      </c>
      <c r="G20" s="219">
        <v>0</v>
      </c>
      <c r="H20" s="219">
        <v>10212</v>
      </c>
      <c r="I20" s="219">
        <v>0</v>
      </c>
      <c r="J20" s="219">
        <v>0</v>
      </c>
      <c r="K20" s="219">
        <v>0</v>
      </c>
      <c r="L20" s="219">
        <v>0</v>
      </c>
      <c r="M20" s="219">
        <v>0</v>
      </c>
      <c r="N20" s="45">
        <f t="shared" si="0"/>
        <v>73820.043450240002</v>
      </c>
    </row>
    <row r="21" spans="1:14">
      <c r="A21" s="119">
        <f t="shared" si="1"/>
        <v>2029</v>
      </c>
      <c r="B21" s="119">
        <f t="shared" si="1"/>
        <v>76</v>
      </c>
      <c r="C21" s="119">
        <f t="shared" si="1"/>
        <v>74</v>
      </c>
      <c r="D21" s="338">
        <f t="shared" si="3"/>
        <v>33122.424096000002</v>
      </c>
      <c r="E21" s="339">
        <f t="shared" si="2"/>
        <v>31757.780223244801</v>
      </c>
      <c r="F21" s="219">
        <v>0</v>
      </c>
      <c r="G21" s="219">
        <v>0</v>
      </c>
      <c r="H21" s="219">
        <v>10212</v>
      </c>
      <c r="I21" s="219">
        <v>0</v>
      </c>
      <c r="J21" s="219">
        <v>0</v>
      </c>
      <c r="K21" s="219">
        <v>0</v>
      </c>
      <c r="L21" s="219">
        <v>0</v>
      </c>
      <c r="M21" s="219">
        <v>0</v>
      </c>
      <c r="N21" s="45">
        <f t="shared" si="0"/>
        <v>75092.204319244804</v>
      </c>
    </row>
    <row r="22" spans="1:14">
      <c r="A22" s="119">
        <f t="shared" si="1"/>
        <v>2030</v>
      </c>
      <c r="B22" s="119">
        <f t="shared" si="1"/>
        <v>77</v>
      </c>
      <c r="C22" s="119">
        <f t="shared" si="1"/>
        <v>75</v>
      </c>
      <c r="D22" s="338">
        <f t="shared" si="3"/>
        <v>33784.872577920003</v>
      </c>
      <c r="E22" s="339">
        <f t="shared" si="2"/>
        <v>32392.935827709698</v>
      </c>
      <c r="F22" s="219">
        <v>0</v>
      </c>
      <c r="G22" s="219">
        <v>0</v>
      </c>
      <c r="H22" s="219">
        <v>10212</v>
      </c>
      <c r="I22" s="219">
        <v>0</v>
      </c>
      <c r="J22" s="219">
        <v>0</v>
      </c>
      <c r="K22" s="219">
        <v>0</v>
      </c>
      <c r="L22" s="219">
        <v>0</v>
      </c>
      <c r="M22" s="219">
        <v>0</v>
      </c>
      <c r="N22" s="45">
        <f t="shared" si="0"/>
        <v>76389.808405629708</v>
      </c>
    </row>
    <row r="23" spans="1:14">
      <c r="A23" s="119">
        <f t="shared" si="1"/>
        <v>2031</v>
      </c>
      <c r="B23" s="119">
        <f t="shared" si="1"/>
        <v>78</v>
      </c>
      <c r="C23" s="119">
        <f t="shared" si="1"/>
        <v>76</v>
      </c>
      <c r="D23" s="338">
        <f t="shared" si="3"/>
        <v>34460.570029478404</v>
      </c>
      <c r="E23" s="339">
        <f t="shared" si="2"/>
        <v>33040.794544263896</v>
      </c>
      <c r="F23" s="219">
        <v>0</v>
      </c>
      <c r="G23" s="219">
        <v>0</v>
      </c>
      <c r="H23" s="219">
        <v>10212</v>
      </c>
      <c r="I23" s="219">
        <v>0</v>
      </c>
      <c r="J23" s="219">
        <v>0</v>
      </c>
      <c r="K23" s="219">
        <v>0</v>
      </c>
      <c r="L23" s="219">
        <v>0</v>
      </c>
      <c r="M23" s="219">
        <v>0</v>
      </c>
      <c r="N23" s="45">
        <f t="shared" si="0"/>
        <v>77713.364573742292</v>
      </c>
    </row>
    <row r="24" spans="1:14">
      <c r="A24" s="119">
        <f t="shared" si="1"/>
        <v>2032</v>
      </c>
      <c r="B24" s="119">
        <f t="shared" si="1"/>
        <v>79</v>
      </c>
      <c r="C24" s="119">
        <f t="shared" si="1"/>
        <v>77</v>
      </c>
      <c r="D24" s="338">
        <f t="shared" si="3"/>
        <v>35149.781430067975</v>
      </c>
      <c r="E24" s="339">
        <f t="shared" si="2"/>
        <v>33701.610435149174</v>
      </c>
      <c r="F24" s="219">
        <v>0</v>
      </c>
      <c r="G24" s="219">
        <v>0</v>
      </c>
      <c r="H24" s="219">
        <v>10212</v>
      </c>
      <c r="I24" s="219">
        <v>0</v>
      </c>
      <c r="J24" s="219">
        <v>0</v>
      </c>
      <c r="K24" s="219">
        <v>0</v>
      </c>
      <c r="L24" s="219">
        <v>0</v>
      </c>
      <c r="M24" s="219">
        <v>0</v>
      </c>
      <c r="N24" s="45">
        <f t="shared" si="0"/>
        <v>79063.391865217156</v>
      </c>
    </row>
    <row r="25" spans="1:14">
      <c r="A25" s="119">
        <f t="shared" si="1"/>
        <v>2033</v>
      </c>
      <c r="B25" s="119">
        <f t="shared" si="1"/>
        <v>80</v>
      </c>
      <c r="C25" s="119">
        <f t="shared" si="1"/>
        <v>78</v>
      </c>
      <c r="D25" s="338">
        <f t="shared" si="3"/>
        <v>35852.777058669337</v>
      </c>
      <c r="E25" s="339">
        <f t="shared" si="2"/>
        <v>34375.642643852159</v>
      </c>
      <c r="F25" s="219">
        <v>0</v>
      </c>
      <c r="G25" s="219">
        <v>0</v>
      </c>
      <c r="H25" s="219">
        <v>10212</v>
      </c>
      <c r="I25" s="219">
        <v>0</v>
      </c>
      <c r="J25" s="219">
        <v>0</v>
      </c>
      <c r="K25" s="219">
        <v>0</v>
      </c>
      <c r="L25" s="219">
        <v>0</v>
      </c>
      <c r="M25" s="219">
        <v>0</v>
      </c>
      <c r="N25" s="45">
        <f t="shared" si="0"/>
        <v>80440.419702521496</v>
      </c>
    </row>
    <row r="26" spans="1:14">
      <c r="A26" s="155">
        <f t="shared" si="1"/>
        <v>2034</v>
      </c>
      <c r="B26" s="119">
        <f t="shared" si="1"/>
        <v>81</v>
      </c>
      <c r="C26" s="221">
        <f t="shared" si="1"/>
        <v>79</v>
      </c>
      <c r="D26" s="338">
        <f t="shared" si="3"/>
        <v>36569.832599842724</v>
      </c>
      <c r="E26" s="339">
        <f t="shared" si="2"/>
        <v>35063.155496729203</v>
      </c>
      <c r="F26" s="219">
        <v>0</v>
      </c>
      <c r="G26" s="219">
        <v>0</v>
      </c>
      <c r="H26" s="926">
        <v>10212</v>
      </c>
      <c r="I26" s="219">
        <v>0</v>
      </c>
      <c r="J26" s="219">
        <v>0</v>
      </c>
      <c r="K26" s="219">
        <v>0</v>
      </c>
      <c r="L26" s="219">
        <v>0</v>
      </c>
      <c r="M26" s="219">
        <v>0</v>
      </c>
      <c r="N26" s="613">
        <f t="shared" si="0"/>
        <v>81844.988096571935</v>
      </c>
    </row>
    <row r="27" spans="1:14">
      <c r="A27" s="119">
        <f t="shared" si="1"/>
        <v>2035</v>
      </c>
      <c r="B27" s="928">
        <f t="shared" si="1"/>
        <v>82</v>
      </c>
      <c r="C27" s="119">
        <f t="shared" si="1"/>
        <v>80</v>
      </c>
      <c r="D27" s="338">
        <f t="shared" si="3"/>
        <v>37301.229251839577</v>
      </c>
      <c r="E27" s="339">
        <v>0</v>
      </c>
      <c r="F27" s="219">
        <v>0</v>
      </c>
      <c r="G27" s="219">
        <v>0</v>
      </c>
      <c r="H27" s="339">
        <v>6739.92</v>
      </c>
      <c r="I27" s="219">
        <v>0</v>
      </c>
      <c r="J27" s="219">
        <v>0</v>
      </c>
      <c r="K27" s="219">
        <v>0</v>
      </c>
      <c r="L27" s="219">
        <v>0</v>
      </c>
      <c r="M27" s="219">
        <v>0</v>
      </c>
      <c r="N27" s="337">
        <f t="shared" si="0"/>
        <v>44041.149251839575</v>
      </c>
    </row>
    <row r="28" spans="1:14">
      <c r="A28" s="119">
        <f t="shared" ref="A28:C38" si="4">A27+1</f>
        <v>2036</v>
      </c>
      <c r="B28" s="119">
        <f t="shared" si="4"/>
        <v>83</v>
      </c>
      <c r="C28" s="119">
        <f t="shared" si="4"/>
        <v>81</v>
      </c>
      <c r="D28" s="338">
        <f t="shared" si="3"/>
        <v>38047.253836876371</v>
      </c>
      <c r="E28" s="339">
        <f t="shared" si="2"/>
        <v>0</v>
      </c>
      <c r="F28" s="219">
        <v>0</v>
      </c>
      <c r="G28" s="219">
        <v>0</v>
      </c>
      <c r="H28" s="219">
        <v>6739.92</v>
      </c>
      <c r="I28" s="219">
        <v>0</v>
      </c>
      <c r="J28" s="219">
        <v>0</v>
      </c>
      <c r="K28" s="219">
        <v>0</v>
      </c>
      <c r="L28" s="219">
        <v>0</v>
      </c>
      <c r="M28" s="219">
        <v>0</v>
      </c>
      <c r="N28" s="45">
        <f t="shared" si="0"/>
        <v>44787.173836876369</v>
      </c>
    </row>
    <row r="29" spans="1:14">
      <c r="A29" s="119">
        <f t="shared" si="4"/>
        <v>2037</v>
      </c>
      <c r="B29" s="119">
        <f t="shared" si="4"/>
        <v>84</v>
      </c>
      <c r="C29" s="119">
        <f t="shared" si="4"/>
        <v>82</v>
      </c>
      <c r="D29" s="338">
        <f t="shared" si="3"/>
        <v>38808.198913613902</v>
      </c>
      <c r="E29" s="339">
        <f t="shared" si="2"/>
        <v>0</v>
      </c>
      <c r="F29" s="219">
        <v>0</v>
      </c>
      <c r="G29" s="219">
        <v>0</v>
      </c>
      <c r="H29" s="219">
        <v>6739.92</v>
      </c>
      <c r="I29" s="219">
        <v>0</v>
      </c>
      <c r="J29" s="219">
        <v>0</v>
      </c>
      <c r="K29" s="219">
        <v>0</v>
      </c>
      <c r="L29" s="219">
        <v>0</v>
      </c>
      <c r="M29" s="219">
        <v>0</v>
      </c>
      <c r="N29" s="45">
        <f t="shared" si="0"/>
        <v>45548.1189136139</v>
      </c>
    </row>
    <row r="30" spans="1:14">
      <c r="A30" s="119">
        <f t="shared" si="4"/>
        <v>2038</v>
      </c>
      <c r="B30" s="119">
        <f t="shared" si="4"/>
        <v>85</v>
      </c>
      <c r="C30" s="119">
        <f t="shared" si="4"/>
        <v>83</v>
      </c>
      <c r="D30" s="338">
        <f t="shared" si="3"/>
        <v>39584.36289188618</v>
      </c>
      <c r="E30" s="339">
        <f t="shared" si="2"/>
        <v>0</v>
      </c>
      <c r="F30" s="219">
        <v>0</v>
      </c>
      <c r="G30" s="219">
        <v>0</v>
      </c>
      <c r="H30" s="219">
        <v>6739.92</v>
      </c>
      <c r="I30" s="219">
        <v>0</v>
      </c>
      <c r="J30" s="219">
        <v>0</v>
      </c>
      <c r="K30" s="219">
        <v>0</v>
      </c>
      <c r="L30" s="219">
        <v>0</v>
      </c>
      <c r="M30" s="219">
        <v>0</v>
      </c>
      <c r="N30" s="45">
        <f t="shared" si="0"/>
        <v>46324.282891886178</v>
      </c>
    </row>
    <row r="31" spans="1:14">
      <c r="A31" s="119">
        <f t="shared" si="4"/>
        <v>2039</v>
      </c>
      <c r="B31" s="119">
        <f t="shared" si="4"/>
        <v>86</v>
      </c>
      <c r="C31" s="119">
        <f t="shared" si="4"/>
        <v>84</v>
      </c>
      <c r="D31" s="338">
        <f t="shared" si="3"/>
        <v>40376.050149723902</v>
      </c>
      <c r="E31" s="339">
        <f t="shared" si="2"/>
        <v>0</v>
      </c>
      <c r="F31" s="219">
        <v>0</v>
      </c>
      <c r="G31" s="219">
        <v>0</v>
      </c>
      <c r="H31" s="219">
        <v>6739.92</v>
      </c>
      <c r="I31" s="219">
        <v>0</v>
      </c>
      <c r="J31" s="219">
        <v>0</v>
      </c>
      <c r="K31" s="219">
        <v>0</v>
      </c>
      <c r="L31" s="219">
        <v>0</v>
      </c>
      <c r="M31" s="219">
        <v>0</v>
      </c>
      <c r="N31" s="45">
        <f t="shared" si="0"/>
        <v>47115.9701497239</v>
      </c>
    </row>
    <row r="32" spans="1:14">
      <c r="A32" s="119">
        <f t="shared" si="4"/>
        <v>2040</v>
      </c>
      <c r="B32" s="119">
        <f t="shared" si="4"/>
        <v>87</v>
      </c>
      <c r="C32" s="119">
        <f t="shared" si="4"/>
        <v>85</v>
      </c>
      <c r="D32" s="338">
        <f t="shared" si="3"/>
        <v>41183.571152718381</v>
      </c>
      <c r="E32" s="339">
        <f t="shared" si="2"/>
        <v>0</v>
      </c>
      <c r="F32" s="219">
        <v>0</v>
      </c>
      <c r="G32" s="219">
        <v>0</v>
      </c>
      <c r="H32" s="219">
        <v>6739.92</v>
      </c>
      <c r="I32" s="219">
        <v>0</v>
      </c>
      <c r="J32" s="219">
        <v>0</v>
      </c>
      <c r="K32" s="219">
        <v>0</v>
      </c>
      <c r="L32" s="219">
        <v>0</v>
      </c>
      <c r="M32" s="219">
        <v>0</v>
      </c>
      <c r="N32" s="45">
        <f t="shared" si="0"/>
        <v>47923.491152718379</v>
      </c>
    </row>
    <row r="33" spans="1:25">
      <c r="A33" s="119">
        <f t="shared" si="4"/>
        <v>2041</v>
      </c>
      <c r="B33" s="119">
        <f t="shared" si="4"/>
        <v>88</v>
      </c>
      <c r="C33" s="119">
        <f t="shared" si="4"/>
        <v>86</v>
      </c>
      <c r="D33" s="338">
        <f t="shared" si="3"/>
        <v>42007.242575772747</v>
      </c>
      <c r="E33" s="339">
        <f t="shared" si="2"/>
        <v>0</v>
      </c>
      <c r="F33" s="219">
        <v>0</v>
      </c>
      <c r="G33" s="219">
        <v>0</v>
      </c>
      <c r="H33" s="219">
        <v>6739.92</v>
      </c>
      <c r="I33" s="219">
        <v>0</v>
      </c>
      <c r="J33" s="219">
        <v>0</v>
      </c>
      <c r="K33" s="219">
        <v>0</v>
      </c>
      <c r="L33" s="219">
        <v>0</v>
      </c>
      <c r="M33" s="219">
        <v>0</v>
      </c>
      <c r="N33" s="45">
        <f t="shared" si="0"/>
        <v>48747.162575772745</v>
      </c>
    </row>
    <row r="34" spans="1:25">
      <c r="A34" s="119">
        <f t="shared" si="4"/>
        <v>2042</v>
      </c>
      <c r="B34" s="119">
        <f t="shared" si="4"/>
        <v>89</v>
      </c>
      <c r="C34" s="119">
        <f t="shared" si="4"/>
        <v>87</v>
      </c>
      <c r="D34" s="338">
        <f t="shared" si="3"/>
        <v>42847.387427288202</v>
      </c>
      <c r="E34" s="339">
        <f t="shared" si="2"/>
        <v>0</v>
      </c>
      <c r="F34" s="219">
        <v>0</v>
      </c>
      <c r="G34" s="219">
        <v>0</v>
      </c>
      <c r="H34" s="219">
        <v>6739.92</v>
      </c>
      <c r="I34" s="219">
        <v>0</v>
      </c>
      <c r="J34" s="219">
        <v>0</v>
      </c>
      <c r="K34" s="219">
        <v>0</v>
      </c>
      <c r="L34" s="219">
        <v>0</v>
      </c>
      <c r="M34" s="219">
        <v>0</v>
      </c>
      <c r="N34" s="45">
        <f t="shared" si="0"/>
        <v>49587.3074272882</v>
      </c>
    </row>
    <row r="35" spans="1:25">
      <c r="A35" s="119">
        <f t="shared" si="4"/>
        <v>2043</v>
      </c>
      <c r="B35" s="119">
        <f t="shared" si="4"/>
        <v>90</v>
      </c>
      <c r="C35" s="119">
        <f t="shared" si="4"/>
        <v>88</v>
      </c>
      <c r="D35" s="338">
        <f t="shared" si="3"/>
        <v>43704.33517583397</v>
      </c>
      <c r="E35" s="339">
        <f t="shared" si="2"/>
        <v>0</v>
      </c>
      <c r="F35" s="219">
        <v>0</v>
      </c>
      <c r="G35" s="219">
        <v>0</v>
      </c>
      <c r="H35" s="219">
        <v>6739.92</v>
      </c>
      <c r="I35" s="219">
        <v>0</v>
      </c>
      <c r="J35" s="219">
        <v>0</v>
      </c>
      <c r="K35" s="219">
        <v>0</v>
      </c>
      <c r="L35" s="219">
        <v>0</v>
      </c>
      <c r="M35" s="219">
        <v>0</v>
      </c>
      <c r="N35" s="45">
        <f t="shared" si="0"/>
        <v>50444.255175833969</v>
      </c>
    </row>
    <row r="36" spans="1:25">
      <c r="A36" s="119">
        <f t="shared" si="4"/>
        <v>2044</v>
      </c>
      <c r="B36" s="119">
        <f t="shared" si="4"/>
        <v>91</v>
      </c>
      <c r="C36" s="119">
        <f t="shared" si="4"/>
        <v>89</v>
      </c>
      <c r="D36" s="338">
        <f t="shared" si="3"/>
        <v>44578.421879350652</v>
      </c>
      <c r="E36" s="339">
        <f t="shared" si="2"/>
        <v>0</v>
      </c>
      <c r="F36" s="219">
        <v>0</v>
      </c>
      <c r="G36" s="219">
        <v>0</v>
      </c>
      <c r="H36" s="219">
        <v>6739.92</v>
      </c>
      <c r="I36" s="219">
        <v>0</v>
      </c>
      <c r="J36" s="219">
        <v>0</v>
      </c>
      <c r="K36" s="219">
        <v>0</v>
      </c>
      <c r="L36" s="219">
        <v>0</v>
      </c>
      <c r="M36" s="219">
        <v>0</v>
      </c>
      <c r="N36" s="45">
        <f t="shared" si="0"/>
        <v>51318.34187935065</v>
      </c>
    </row>
    <row r="37" spans="1:25">
      <c r="A37" s="119">
        <f t="shared" si="4"/>
        <v>2045</v>
      </c>
      <c r="B37" s="119">
        <f t="shared" si="4"/>
        <v>92</v>
      </c>
      <c r="C37" s="119">
        <f t="shared" si="4"/>
        <v>90</v>
      </c>
      <c r="D37" s="338">
        <f t="shared" si="3"/>
        <v>45469.990316937663</v>
      </c>
      <c r="E37" s="339">
        <f t="shared" si="2"/>
        <v>0</v>
      </c>
      <c r="F37" s="219">
        <v>0</v>
      </c>
      <c r="G37" s="219">
        <v>0</v>
      </c>
      <c r="H37" s="219">
        <v>6739.92</v>
      </c>
      <c r="I37" s="219">
        <v>0</v>
      </c>
      <c r="J37" s="219">
        <v>0</v>
      </c>
      <c r="K37" s="219">
        <v>0</v>
      </c>
      <c r="L37" s="219">
        <v>0</v>
      </c>
      <c r="M37" s="219">
        <v>0</v>
      </c>
      <c r="N37" s="45">
        <f t="shared" si="0"/>
        <v>52209.910316937661</v>
      </c>
    </row>
    <row r="38" spans="1:25">
      <c r="A38" s="137">
        <f t="shared" si="4"/>
        <v>2046</v>
      </c>
      <c r="B38" s="137">
        <f t="shared" si="4"/>
        <v>93</v>
      </c>
      <c r="C38" s="137">
        <f t="shared" si="4"/>
        <v>91</v>
      </c>
      <c r="D38" s="338">
        <f t="shared" si="3"/>
        <v>46379.390123276418</v>
      </c>
      <c r="E38" s="339">
        <f t="shared" si="2"/>
        <v>0</v>
      </c>
      <c r="F38" s="219">
        <v>0</v>
      </c>
      <c r="G38" s="219">
        <v>0</v>
      </c>
      <c r="H38" s="219">
        <v>6739.92</v>
      </c>
      <c r="I38" s="219">
        <v>0</v>
      </c>
      <c r="J38" s="219">
        <v>0</v>
      </c>
      <c r="K38" s="219">
        <v>0</v>
      </c>
      <c r="L38" s="219">
        <v>0</v>
      </c>
      <c r="M38" s="219">
        <v>0</v>
      </c>
      <c r="N38" s="45">
        <f t="shared" si="0"/>
        <v>53119.310123276417</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10">
    <mergeCell ref="D5:L5"/>
    <mergeCell ref="D6:L6"/>
    <mergeCell ref="D7:L7"/>
    <mergeCell ref="A10:C10"/>
    <mergeCell ref="J1:M1"/>
    <mergeCell ref="F2:I2"/>
    <mergeCell ref="L2:M2"/>
    <mergeCell ref="C3:M3"/>
    <mergeCell ref="E4:F4"/>
    <mergeCell ref="H4:I4"/>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23" width="9.125" style="211"/>
    <col min="24" max="24" width="9.25" style="211" customWidth="1"/>
    <col min="25" max="25" width="9.125" style="211"/>
    <col min="26" max="16384" width="9.125" style="89"/>
  </cols>
  <sheetData>
    <row r="1" spans="1:25" ht="17.7">
      <c r="A1" s="211"/>
      <c r="B1" s="209"/>
      <c r="C1" s="209"/>
      <c r="F1" s="71"/>
      <c r="G1" s="71"/>
      <c r="H1" s="71"/>
      <c r="I1" s="924"/>
      <c r="J1" s="1978" t="s">
        <v>586</v>
      </c>
      <c r="K1" s="1978"/>
      <c r="L1" s="1978"/>
      <c r="M1" s="1978"/>
      <c r="N1" s="686">
        <f>'Cash Flow Income Snapshot'!I6</f>
        <v>52500</v>
      </c>
      <c r="S1" s="89"/>
    </row>
    <row r="2" spans="1:25" ht="20.3">
      <c r="A2" s="211"/>
      <c r="B2" s="209"/>
      <c r="C2" s="710"/>
      <c r="D2" s="595"/>
      <c r="E2" s="925"/>
      <c r="F2" s="1984" t="s">
        <v>603</v>
      </c>
      <c r="G2" s="1984"/>
      <c r="H2" s="1984"/>
      <c r="I2" s="1984"/>
      <c r="J2" s="925"/>
      <c r="K2" s="925"/>
      <c r="L2" s="1980"/>
      <c r="M2" s="1980"/>
      <c r="N2" s="593"/>
    </row>
    <row r="3" spans="1:25" ht="24.05" customHeight="1">
      <c r="A3" s="211"/>
      <c r="B3" s="209"/>
      <c r="C3" s="1981" t="s">
        <v>588</v>
      </c>
      <c r="D3" s="1981"/>
      <c r="E3" s="1981"/>
      <c r="F3" s="1981"/>
      <c r="G3" s="1981"/>
      <c r="H3" s="1981"/>
      <c r="I3" s="1981"/>
      <c r="J3" s="1981"/>
      <c r="K3" s="1981"/>
      <c r="L3" s="1981"/>
      <c r="M3" s="1981"/>
      <c r="N3" s="707">
        <f>'Cash Flow Income Snapshot'!H3</f>
        <v>108000</v>
      </c>
    </row>
    <row r="4" spans="1:25" ht="17.7">
      <c r="A4" s="211"/>
      <c r="B4" s="209"/>
      <c r="C4" s="371"/>
      <c r="D4" s="16"/>
      <c r="E4" s="1982" t="s">
        <v>589</v>
      </c>
      <c r="F4" s="1982"/>
      <c r="G4" s="824">
        <f>'Cash Flow Income Snapshot'!J3</f>
        <v>70</v>
      </c>
      <c r="H4" s="1983" t="s">
        <v>590</v>
      </c>
      <c r="I4" s="1983"/>
      <c r="J4" s="825">
        <f>'Cash Flow Income Snapshot'!J4</f>
        <v>66</v>
      </c>
      <c r="K4" s="16"/>
      <c r="L4" s="16"/>
      <c r="M4" s="16"/>
      <c r="N4" s="596"/>
    </row>
    <row r="5" spans="1:25" ht="15.05">
      <c r="A5" s="211"/>
      <c r="B5" s="209"/>
      <c r="C5" s="599"/>
      <c r="D5" s="1973"/>
      <c r="E5" s="1973"/>
      <c r="F5" s="1973"/>
      <c r="G5" s="1973"/>
      <c r="H5" s="1973"/>
      <c r="I5" s="1973"/>
      <c r="J5" s="1973"/>
      <c r="K5" s="1973"/>
      <c r="L5" s="1973"/>
      <c r="M5" s="687">
        <f>'Egan Asset Summary'!L3</f>
        <v>0</v>
      </c>
      <c r="N5" s="689">
        <f>'Cash Flow Income Snapshot'!I3</f>
        <v>66</v>
      </c>
    </row>
    <row r="6" spans="1:25" ht="15.05">
      <c r="A6" s="211"/>
      <c r="B6" s="209"/>
      <c r="C6" s="599"/>
      <c r="D6" s="1974"/>
      <c r="E6" s="1974"/>
      <c r="F6" s="1974"/>
      <c r="G6" s="1974"/>
      <c r="H6" s="1974"/>
      <c r="I6" s="1974"/>
      <c r="J6" s="1974"/>
      <c r="K6" s="1974"/>
      <c r="L6" s="1974"/>
      <c r="M6" s="688">
        <f>'Egan Asset Summary'!L4</f>
        <v>0</v>
      </c>
      <c r="N6" s="690">
        <f>'Cash Flow Income Snapshot'!I4</f>
        <v>64</v>
      </c>
    </row>
    <row r="7" spans="1:25">
      <c r="A7" s="600"/>
      <c r="B7" s="209"/>
      <c r="C7" s="599"/>
      <c r="D7" s="1975"/>
      <c r="E7" s="1976"/>
      <c r="F7" s="1976"/>
      <c r="G7" s="1976"/>
      <c r="H7" s="1976"/>
      <c r="I7" s="1976"/>
      <c r="J7" s="1976"/>
      <c r="K7" s="1976"/>
      <c r="L7" s="1976"/>
      <c r="N7" s="597"/>
    </row>
    <row r="8" spans="1:25" s="37" customFormat="1" ht="100" customHeight="1">
      <c r="A8" s="212" t="s">
        <v>26</v>
      </c>
      <c r="B8" s="212" t="s">
        <v>591</v>
      </c>
      <c r="C8" s="212" t="s">
        <v>592</v>
      </c>
      <c r="D8" s="683" t="s">
        <v>593</v>
      </c>
      <c r="E8" s="139" t="s">
        <v>594</v>
      </c>
      <c r="F8" s="683" t="s">
        <v>595</v>
      </c>
      <c r="G8" s="139" t="s">
        <v>596</v>
      </c>
      <c r="H8" s="136" t="s">
        <v>386</v>
      </c>
      <c r="I8" s="592"/>
      <c r="J8" s="592"/>
      <c r="K8" s="36"/>
      <c r="L8" s="36"/>
      <c r="M8" s="36"/>
      <c r="N8" s="149"/>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row>
    <row r="10" spans="1:25" ht="100" customHeight="1">
      <c r="A10" s="1532" t="s">
        <v>34</v>
      </c>
      <c r="B10" s="1532"/>
      <c r="C10" s="1977"/>
      <c r="D10" s="668" t="s">
        <v>597</v>
      </c>
      <c r="E10" s="668" t="s">
        <v>598</v>
      </c>
      <c r="F10" s="299" t="s">
        <v>599</v>
      </c>
      <c r="G10" s="299" t="s">
        <v>600</v>
      </c>
      <c r="H10" s="927" t="s">
        <v>601</v>
      </c>
      <c r="I10" s="299"/>
      <c r="J10" s="299"/>
      <c r="K10" s="217"/>
      <c r="L10" s="217"/>
      <c r="M10" s="217"/>
      <c r="N10" s="691" t="s">
        <v>602</v>
      </c>
    </row>
    <row r="11" spans="1:25">
      <c r="A11" s="119">
        <v>2019</v>
      </c>
      <c r="B11" s="155">
        <f>'Cash Flow Income Snapshot'!I3</f>
        <v>66</v>
      </c>
      <c r="C11" s="119">
        <f>'Cash Flow Income Snapshot'!I4</f>
        <v>64</v>
      </c>
      <c r="D11" s="219">
        <v>0</v>
      </c>
      <c r="E11" s="219">
        <v>0</v>
      </c>
      <c r="F11" s="219">
        <v>49000</v>
      </c>
      <c r="G11" s="219">
        <v>125000</v>
      </c>
      <c r="H11" s="219">
        <v>0</v>
      </c>
      <c r="I11" s="219">
        <v>0</v>
      </c>
      <c r="J11" s="219">
        <v>0</v>
      </c>
      <c r="K11" s="219">
        <v>0</v>
      </c>
      <c r="L11" s="219">
        <v>0</v>
      </c>
      <c r="M11" s="219">
        <v>0</v>
      </c>
      <c r="N11" s="190">
        <f t="shared" ref="N11:N38" si="0">SUM(D11:M11)</f>
        <v>174000</v>
      </c>
    </row>
    <row r="12" spans="1:25">
      <c r="A12" s="119">
        <f t="shared" ref="A12:C27" si="1">A11+1</f>
        <v>2020</v>
      </c>
      <c r="B12" s="144">
        <f t="shared" si="1"/>
        <v>67</v>
      </c>
      <c r="C12" s="334">
        <f t="shared" si="1"/>
        <v>65</v>
      </c>
      <c r="D12" s="219">
        <v>0</v>
      </c>
      <c r="E12" s="219">
        <v>0</v>
      </c>
      <c r="F12" s="219">
        <v>49000</v>
      </c>
      <c r="G12" s="219">
        <v>125000</v>
      </c>
      <c r="H12" s="219">
        <v>4255</v>
      </c>
      <c r="I12" s="219">
        <v>0</v>
      </c>
      <c r="J12" s="219">
        <v>0</v>
      </c>
      <c r="K12" s="219">
        <v>0</v>
      </c>
      <c r="L12" s="219">
        <v>0</v>
      </c>
      <c r="M12" s="219">
        <v>0</v>
      </c>
      <c r="N12" s="45">
        <f t="shared" si="0"/>
        <v>178255</v>
      </c>
    </row>
    <row r="13" spans="1:25">
      <c r="A13" s="155">
        <f t="shared" si="1"/>
        <v>2021</v>
      </c>
      <c r="B13" s="119">
        <f t="shared" si="1"/>
        <v>68</v>
      </c>
      <c r="C13" s="119">
        <f t="shared" si="1"/>
        <v>66</v>
      </c>
      <c r="D13" s="219">
        <v>0</v>
      </c>
      <c r="E13" s="219">
        <v>0</v>
      </c>
      <c r="F13" s="219">
        <v>49000</v>
      </c>
      <c r="G13" s="219">
        <v>125000</v>
      </c>
      <c r="H13" s="219">
        <v>10212</v>
      </c>
      <c r="I13" s="219">
        <v>0</v>
      </c>
      <c r="J13" s="219">
        <v>0</v>
      </c>
      <c r="K13" s="219">
        <v>0</v>
      </c>
      <c r="L13" s="219">
        <v>0</v>
      </c>
      <c r="M13" s="219">
        <v>0</v>
      </c>
      <c r="N13" s="45">
        <f t="shared" si="0"/>
        <v>184212</v>
      </c>
    </row>
    <row r="14" spans="1:25">
      <c r="A14" s="119">
        <f t="shared" si="1"/>
        <v>2022</v>
      </c>
      <c r="B14" s="137">
        <f t="shared" si="1"/>
        <v>69</v>
      </c>
      <c r="C14" s="706">
        <f t="shared" si="1"/>
        <v>67</v>
      </c>
      <c r="D14" s="219">
        <v>0</v>
      </c>
      <c r="E14" s="339">
        <v>4700</v>
      </c>
      <c r="F14" s="219">
        <v>49000</v>
      </c>
      <c r="G14" s="940">
        <v>72912</v>
      </c>
      <c r="H14" s="219">
        <v>10212</v>
      </c>
      <c r="I14" s="219">
        <v>0</v>
      </c>
      <c r="J14" s="219">
        <v>0</v>
      </c>
      <c r="K14" s="219">
        <v>0</v>
      </c>
      <c r="L14" s="219">
        <v>0</v>
      </c>
      <c r="M14" s="219">
        <v>0</v>
      </c>
      <c r="N14" s="45">
        <f t="shared" si="0"/>
        <v>136824</v>
      </c>
    </row>
    <row r="15" spans="1:25">
      <c r="A15" s="119">
        <f t="shared" si="1"/>
        <v>2023</v>
      </c>
      <c r="B15" s="119">
        <f t="shared" si="1"/>
        <v>70</v>
      </c>
      <c r="C15" s="119">
        <f t="shared" si="1"/>
        <v>68</v>
      </c>
      <c r="D15" s="219">
        <v>0</v>
      </c>
      <c r="E15" s="339">
        <v>28200</v>
      </c>
      <c r="F15" s="219">
        <v>49000</v>
      </c>
      <c r="G15" s="219">
        <v>0</v>
      </c>
      <c r="H15" s="219">
        <v>10212</v>
      </c>
      <c r="I15" s="219">
        <v>0</v>
      </c>
      <c r="J15" s="219">
        <v>0</v>
      </c>
      <c r="K15" s="219">
        <v>0</v>
      </c>
      <c r="L15" s="219">
        <v>0</v>
      </c>
      <c r="M15" s="219">
        <v>0</v>
      </c>
      <c r="N15" s="45">
        <f t="shared" si="0"/>
        <v>87412</v>
      </c>
    </row>
    <row r="16" spans="1:25">
      <c r="A16" s="119">
        <f t="shared" si="1"/>
        <v>2024</v>
      </c>
      <c r="B16" s="144">
        <f t="shared" si="1"/>
        <v>71</v>
      </c>
      <c r="C16" s="144">
        <f t="shared" si="1"/>
        <v>69</v>
      </c>
      <c r="D16" s="338">
        <v>12750</v>
      </c>
      <c r="E16" s="339">
        <f>E15*1.02</f>
        <v>28764</v>
      </c>
      <c r="F16" s="939">
        <v>28583</v>
      </c>
      <c r="G16" s="219">
        <v>0</v>
      </c>
      <c r="H16" s="219">
        <v>10212</v>
      </c>
      <c r="I16" s="219">
        <v>0</v>
      </c>
      <c r="J16" s="219">
        <v>0</v>
      </c>
      <c r="K16" s="219">
        <v>0</v>
      </c>
      <c r="L16" s="219">
        <v>0</v>
      </c>
      <c r="M16" s="219">
        <v>0</v>
      </c>
      <c r="N16" s="45">
        <f t="shared" si="0"/>
        <v>80309</v>
      </c>
    </row>
    <row r="17" spans="1:14">
      <c r="A17" s="155">
        <f t="shared" si="1"/>
        <v>2025</v>
      </c>
      <c r="B17" s="119">
        <f t="shared" si="1"/>
        <v>72</v>
      </c>
      <c r="C17" s="119">
        <f t="shared" si="1"/>
        <v>70</v>
      </c>
      <c r="D17" s="338">
        <v>30600</v>
      </c>
      <c r="E17" s="339">
        <f t="shared" ref="E17:E38" si="2">E16*1.02</f>
        <v>29339.279999999999</v>
      </c>
      <c r="F17" s="219">
        <v>0</v>
      </c>
      <c r="G17" s="219">
        <v>0</v>
      </c>
      <c r="H17" s="219">
        <v>10212</v>
      </c>
      <c r="I17" s="219">
        <v>0</v>
      </c>
      <c r="J17" s="219">
        <v>0</v>
      </c>
      <c r="K17" s="219">
        <v>0</v>
      </c>
      <c r="L17" s="219">
        <v>0</v>
      </c>
      <c r="M17" s="219">
        <v>0</v>
      </c>
      <c r="N17" s="45">
        <f>SUM(D17:M17)</f>
        <v>70151.28</v>
      </c>
    </row>
    <row r="18" spans="1:14">
      <c r="A18" s="119">
        <f t="shared" si="1"/>
        <v>2026</v>
      </c>
      <c r="B18" s="137">
        <f t="shared" si="1"/>
        <v>73</v>
      </c>
      <c r="C18" s="137">
        <f t="shared" si="1"/>
        <v>71</v>
      </c>
      <c r="D18" s="338">
        <f>D17*1.02</f>
        <v>31212</v>
      </c>
      <c r="E18" s="339">
        <f t="shared" si="2"/>
        <v>29926.065599999998</v>
      </c>
      <c r="F18" s="219">
        <v>0</v>
      </c>
      <c r="G18" s="219">
        <v>0</v>
      </c>
      <c r="H18" s="219">
        <v>10212</v>
      </c>
      <c r="I18" s="219">
        <v>0</v>
      </c>
      <c r="J18" s="219">
        <v>0</v>
      </c>
      <c r="K18" s="219">
        <v>0</v>
      </c>
      <c r="L18" s="219">
        <v>0</v>
      </c>
      <c r="M18" s="219">
        <v>0</v>
      </c>
      <c r="N18" s="45">
        <f t="shared" si="0"/>
        <v>71350.065600000002</v>
      </c>
    </row>
    <row r="19" spans="1:14">
      <c r="A19" s="119">
        <f t="shared" si="1"/>
        <v>2027</v>
      </c>
      <c r="B19" s="119">
        <f t="shared" si="1"/>
        <v>74</v>
      </c>
      <c r="C19" s="119">
        <f t="shared" si="1"/>
        <v>72</v>
      </c>
      <c r="D19" s="338">
        <f t="shared" ref="D19:D38" si="3">D18*1.02</f>
        <v>31836.240000000002</v>
      </c>
      <c r="E19" s="339">
        <f t="shared" si="2"/>
        <v>30524.586911999999</v>
      </c>
      <c r="F19" s="219">
        <v>0</v>
      </c>
      <c r="G19" s="219">
        <v>0</v>
      </c>
      <c r="H19" s="219">
        <v>10212</v>
      </c>
      <c r="I19" s="219">
        <v>0</v>
      </c>
      <c r="J19" s="219">
        <v>0</v>
      </c>
      <c r="K19" s="219">
        <v>0</v>
      </c>
      <c r="L19" s="219">
        <v>0</v>
      </c>
      <c r="M19" s="219">
        <v>0</v>
      </c>
      <c r="N19" s="708">
        <f t="shared" si="0"/>
        <v>72572.826912000004</v>
      </c>
    </row>
    <row r="20" spans="1:14">
      <c r="A20" s="119">
        <f t="shared" si="1"/>
        <v>2028</v>
      </c>
      <c r="B20" s="119">
        <f t="shared" si="1"/>
        <v>75</v>
      </c>
      <c r="C20" s="119">
        <f t="shared" si="1"/>
        <v>73</v>
      </c>
      <c r="D20" s="338">
        <f t="shared" si="3"/>
        <v>32472.964800000002</v>
      </c>
      <c r="E20" s="339">
        <f t="shared" si="2"/>
        <v>31135.078650240001</v>
      </c>
      <c r="F20" s="219">
        <v>0</v>
      </c>
      <c r="G20" s="219">
        <v>0</v>
      </c>
      <c r="H20" s="219">
        <v>10212</v>
      </c>
      <c r="I20" s="219">
        <v>0</v>
      </c>
      <c r="J20" s="219">
        <v>0</v>
      </c>
      <c r="K20" s="219">
        <v>0</v>
      </c>
      <c r="L20" s="219">
        <v>0</v>
      </c>
      <c r="M20" s="219">
        <v>0</v>
      </c>
      <c r="N20" s="45">
        <f t="shared" si="0"/>
        <v>73820.043450240002</v>
      </c>
    </row>
    <row r="21" spans="1:14">
      <c r="A21" s="119">
        <f t="shared" si="1"/>
        <v>2029</v>
      </c>
      <c r="B21" s="119">
        <f t="shared" si="1"/>
        <v>76</v>
      </c>
      <c r="C21" s="119">
        <f t="shared" si="1"/>
        <v>74</v>
      </c>
      <c r="D21" s="338">
        <f t="shared" si="3"/>
        <v>33122.424096000002</v>
      </c>
      <c r="E21" s="339">
        <f t="shared" si="2"/>
        <v>31757.780223244801</v>
      </c>
      <c r="F21" s="219">
        <v>0</v>
      </c>
      <c r="G21" s="219">
        <v>0</v>
      </c>
      <c r="H21" s="219">
        <v>10212</v>
      </c>
      <c r="I21" s="219">
        <v>0</v>
      </c>
      <c r="J21" s="219">
        <v>0</v>
      </c>
      <c r="K21" s="219">
        <v>0</v>
      </c>
      <c r="L21" s="219">
        <v>0</v>
      </c>
      <c r="M21" s="219">
        <v>0</v>
      </c>
      <c r="N21" s="45">
        <f t="shared" si="0"/>
        <v>75092.204319244804</v>
      </c>
    </row>
    <row r="22" spans="1:14">
      <c r="A22" s="119">
        <f t="shared" si="1"/>
        <v>2030</v>
      </c>
      <c r="B22" s="119">
        <f t="shared" si="1"/>
        <v>77</v>
      </c>
      <c r="C22" s="119">
        <f t="shared" si="1"/>
        <v>75</v>
      </c>
      <c r="D22" s="338">
        <f t="shared" si="3"/>
        <v>33784.872577920003</v>
      </c>
      <c r="E22" s="339">
        <f t="shared" si="2"/>
        <v>32392.935827709698</v>
      </c>
      <c r="F22" s="219">
        <v>0</v>
      </c>
      <c r="G22" s="219">
        <v>0</v>
      </c>
      <c r="H22" s="219">
        <v>10212</v>
      </c>
      <c r="I22" s="219">
        <v>0</v>
      </c>
      <c r="J22" s="219">
        <v>0</v>
      </c>
      <c r="K22" s="219">
        <v>0</v>
      </c>
      <c r="L22" s="219">
        <v>0</v>
      </c>
      <c r="M22" s="219">
        <v>0</v>
      </c>
      <c r="N22" s="45">
        <f t="shared" si="0"/>
        <v>76389.808405629708</v>
      </c>
    </row>
    <row r="23" spans="1:14">
      <c r="A23" s="119">
        <f t="shared" si="1"/>
        <v>2031</v>
      </c>
      <c r="B23" s="119">
        <f t="shared" si="1"/>
        <v>78</v>
      </c>
      <c r="C23" s="119">
        <f t="shared" si="1"/>
        <v>76</v>
      </c>
      <c r="D23" s="338">
        <f t="shared" si="3"/>
        <v>34460.570029478404</v>
      </c>
      <c r="E23" s="339">
        <f t="shared" si="2"/>
        <v>33040.794544263896</v>
      </c>
      <c r="F23" s="219">
        <v>0</v>
      </c>
      <c r="G23" s="219">
        <v>0</v>
      </c>
      <c r="H23" s="219">
        <v>10212</v>
      </c>
      <c r="I23" s="219">
        <v>0</v>
      </c>
      <c r="J23" s="219">
        <v>0</v>
      </c>
      <c r="K23" s="219">
        <v>0</v>
      </c>
      <c r="L23" s="219">
        <v>0</v>
      </c>
      <c r="M23" s="219">
        <v>0</v>
      </c>
      <c r="N23" s="45">
        <f t="shared" si="0"/>
        <v>77713.364573742292</v>
      </c>
    </row>
    <row r="24" spans="1:14">
      <c r="A24" s="119">
        <f t="shared" si="1"/>
        <v>2032</v>
      </c>
      <c r="B24" s="119">
        <f t="shared" si="1"/>
        <v>79</v>
      </c>
      <c r="C24" s="119">
        <f t="shared" si="1"/>
        <v>77</v>
      </c>
      <c r="D24" s="338">
        <f t="shared" si="3"/>
        <v>35149.781430067975</v>
      </c>
      <c r="E24" s="339">
        <f t="shared" si="2"/>
        <v>33701.610435149174</v>
      </c>
      <c r="F24" s="219">
        <v>0</v>
      </c>
      <c r="G24" s="219">
        <v>0</v>
      </c>
      <c r="H24" s="219">
        <v>10212</v>
      </c>
      <c r="I24" s="219">
        <v>0</v>
      </c>
      <c r="J24" s="219">
        <v>0</v>
      </c>
      <c r="K24" s="219">
        <v>0</v>
      </c>
      <c r="L24" s="219">
        <v>0</v>
      </c>
      <c r="M24" s="219">
        <v>0</v>
      </c>
      <c r="N24" s="45">
        <f t="shared" si="0"/>
        <v>79063.391865217156</v>
      </c>
    </row>
    <row r="25" spans="1:14">
      <c r="A25" s="119">
        <f t="shared" si="1"/>
        <v>2033</v>
      </c>
      <c r="B25" s="119">
        <f t="shared" si="1"/>
        <v>80</v>
      </c>
      <c r="C25" s="119">
        <f t="shared" si="1"/>
        <v>78</v>
      </c>
      <c r="D25" s="338">
        <f t="shared" si="3"/>
        <v>35852.777058669337</v>
      </c>
      <c r="E25" s="339">
        <f t="shared" si="2"/>
        <v>34375.642643852159</v>
      </c>
      <c r="F25" s="219">
        <v>0</v>
      </c>
      <c r="G25" s="219">
        <v>0</v>
      </c>
      <c r="H25" s="219">
        <v>10212</v>
      </c>
      <c r="I25" s="219">
        <v>0</v>
      </c>
      <c r="J25" s="219">
        <v>0</v>
      </c>
      <c r="K25" s="219">
        <v>0</v>
      </c>
      <c r="L25" s="219">
        <v>0</v>
      </c>
      <c r="M25" s="219">
        <v>0</v>
      </c>
      <c r="N25" s="45">
        <f t="shared" si="0"/>
        <v>80440.419702521496</v>
      </c>
    </row>
    <row r="26" spans="1:14">
      <c r="A26" s="155">
        <f t="shared" si="1"/>
        <v>2034</v>
      </c>
      <c r="B26" s="119">
        <f t="shared" si="1"/>
        <v>81</v>
      </c>
      <c r="C26" s="221">
        <f t="shared" si="1"/>
        <v>79</v>
      </c>
      <c r="D26" s="338">
        <f t="shared" si="3"/>
        <v>36569.832599842724</v>
      </c>
      <c r="E26" s="339">
        <f t="shared" si="2"/>
        <v>35063.155496729203</v>
      </c>
      <c r="F26" s="219">
        <v>0</v>
      </c>
      <c r="G26" s="219">
        <v>0</v>
      </c>
      <c r="H26" s="219">
        <v>10212</v>
      </c>
      <c r="I26" s="219">
        <v>0</v>
      </c>
      <c r="J26" s="219">
        <v>0</v>
      </c>
      <c r="K26" s="219">
        <v>0</v>
      </c>
      <c r="L26" s="219">
        <v>0</v>
      </c>
      <c r="M26" s="219">
        <v>0</v>
      </c>
      <c r="N26" s="45">
        <f t="shared" si="0"/>
        <v>81844.988096571935</v>
      </c>
    </row>
    <row r="27" spans="1:14">
      <c r="A27" s="119">
        <f t="shared" si="1"/>
        <v>2035</v>
      </c>
      <c r="B27" s="137">
        <f t="shared" si="1"/>
        <v>82</v>
      </c>
      <c r="C27" s="119">
        <f t="shared" si="1"/>
        <v>80</v>
      </c>
      <c r="D27" s="338">
        <f t="shared" si="3"/>
        <v>37301.229251839577</v>
      </c>
      <c r="E27" s="339">
        <f t="shared" si="2"/>
        <v>35764.418606663785</v>
      </c>
      <c r="F27" s="219">
        <v>0</v>
      </c>
      <c r="G27" s="219">
        <v>0</v>
      </c>
      <c r="H27" s="219">
        <v>10212</v>
      </c>
      <c r="I27" s="219">
        <v>0</v>
      </c>
      <c r="J27" s="219">
        <v>0</v>
      </c>
      <c r="K27" s="219">
        <v>0</v>
      </c>
      <c r="L27" s="219">
        <v>0</v>
      </c>
      <c r="M27" s="219">
        <v>0</v>
      </c>
      <c r="N27" s="45">
        <f t="shared" si="0"/>
        <v>83277.647858503362</v>
      </c>
    </row>
    <row r="28" spans="1:14">
      <c r="A28" s="119">
        <f t="shared" ref="A28:C38" si="4">A27+1</f>
        <v>2036</v>
      </c>
      <c r="B28" s="119">
        <f t="shared" si="4"/>
        <v>83</v>
      </c>
      <c r="C28" s="119">
        <f t="shared" si="4"/>
        <v>81</v>
      </c>
      <c r="D28" s="338">
        <f t="shared" si="3"/>
        <v>38047.253836876371</v>
      </c>
      <c r="E28" s="339">
        <f t="shared" si="2"/>
        <v>36479.706978797061</v>
      </c>
      <c r="F28" s="219">
        <v>0</v>
      </c>
      <c r="G28" s="219">
        <v>0</v>
      </c>
      <c r="H28" s="219">
        <v>10212</v>
      </c>
      <c r="I28" s="219">
        <v>0</v>
      </c>
      <c r="J28" s="219">
        <v>0</v>
      </c>
      <c r="K28" s="219">
        <v>0</v>
      </c>
      <c r="L28" s="219">
        <v>0</v>
      </c>
      <c r="M28" s="219">
        <v>0</v>
      </c>
      <c r="N28" s="45">
        <f t="shared" si="0"/>
        <v>84738.960815673432</v>
      </c>
    </row>
    <row r="29" spans="1:14">
      <c r="A29" s="119">
        <f t="shared" si="4"/>
        <v>2037</v>
      </c>
      <c r="B29" s="119">
        <f t="shared" si="4"/>
        <v>84</v>
      </c>
      <c r="C29" s="119">
        <f t="shared" si="4"/>
        <v>82</v>
      </c>
      <c r="D29" s="338">
        <f t="shared" si="3"/>
        <v>38808.198913613902</v>
      </c>
      <c r="E29" s="339">
        <f t="shared" si="2"/>
        <v>37209.301118373005</v>
      </c>
      <c r="F29" s="219">
        <v>0</v>
      </c>
      <c r="G29" s="219">
        <v>0</v>
      </c>
      <c r="H29" s="219">
        <v>10212</v>
      </c>
      <c r="I29" s="219">
        <v>0</v>
      </c>
      <c r="J29" s="219">
        <v>0</v>
      </c>
      <c r="K29" s="219">
        <v>0</v>
      </c>
      <c r="L29" s="219">
        <v>0</v>
      </c>
      <c r="M29" s="219">
        <v>0</v>
      </c>
      <c r="N29" s="45">
        <f t="shared" si="0"/>
        <v>86229.500031986914</v>
      </c>
    </row>
    <row r="30" spans="1:14">
      <c r="A30" s="119">
        <f t="shared" si="4"/>
        <v>2038</v>
      </c>
      <c r="B30" s="119">
        <f t="shared" si="4"/>
        <v>85</v>
      </c>
      <c r="C30" s="119">
        <f t="shared" si="4"/>
        <v>83</v>
      </c>
      <c r="D30" s="338">
        <f t="shared" si="3"/>
        <v>39584.36289188618</v>
      </c>
      <c r="E30" s="339">
        <f t="shared" si="2"/>
        <v>37953.487140740464</v>
      </c>
      <c r="F30" s="219">
        <v>0</v>
      </c>
      <c r="G30" s="219">
        <v>0</v>
      </c>
      <c r="H30" s="219">
        <v>10212</v>
      </c>
      <c r="I30" s="219">
        <v>0</v>
      </c>
      <c r="J30" s="219">
        <v>0</v>
      </c>
      <c r="K30" s="219">
        <v>0</v>
      </c>
      <c r="L30" s="219">
        <v>0</v>
      </c>
      <c r="M30" s="219">
        <v>0</v>
      </c>
      <c r="N30" s="45">
        <f t="shared" si="0"/>
        <v>87749.850032626651</v>
      </c>
    </row>
    <row r="31" spans="1:14">
      <c r="A31" s="119">
        <f t="shared" si="4"/>
        <v>2039</v>
      </c>
      <c r="B31" s="119">
        <f t="shared" si="4"/>
        <v>86</v>
      </c>
      <c r="C31" s="119">
        <f t="shared" si="4"/>
        <v>84</v>
      </c>
      <c r="D31" s="338">
        <f t="shared" si="3"/>
        <v>40376.050149723902</v>
      </c>
      <c r="E31" s="339">
        <f t="shared" si="2"/>
        <v>38712.556883555277</v>
      </c>
      <c r="F31" s="219">
        <v>0</v>
      </c>
      <c r="G31" s="219">
        <v>0</v>
      </c>
      <c r="H31" s="219">
        <v>10212</v>
      </c>
      <c r="I31" s="219">
        <v>0</v>
      </c>
      <c r="J31" s="219">
        <v>0</v>
      </c>
      <c r="K31" s="219">
        <v>0</v>
      </c>
      <c r="L31" s="219">
        <v>0</v>
      </c>
      <c r="M31" s="219">
        <v>0</v>
      </c>
      <c r="N31" s="613">
        <f t="shared" si="0"/>
        <v>89300.607033279171</v>
      </c>
    </row>
    <row r="32" spans="1:14">
      <c r="A32" s="119">
        <f t="shared" si="4"/>
        <v>2040</v>
      </c>
      <c r="B32" s="119">
        <f t="shared" si="4"/>
        <v>87</v>
      </c>
      <c r="C32" s="341">
        <f t="shared" si="4"/>
        <v>85</v>
      </c>
      <c r="D32" s="338">
        <f t="shared" si="3"/>
        <v>41183.571152718381</v>
      </c>
      <c r="E32" s="339">
        <v>0</v>
      </c>
      <c r="F32" s="219">
        <v>0</v>
      </c>
      <c r="G32" s="219">
        <v>0</v>
      </c>
      <c r="H32" s="926">
        <v>10212</v>
      </c>
      <c r="I32" s="219">
        <v>0</v>
      </c>
      <c r="J32" s="219">
        <v>0</v>
      </c>
      <c r="K32" s="219">
        <v>0</v>
      </c>
      <c r="L32" s="219">
        <v>0</v>
      </c>
      <c r="M32" s="219">
        <v>0</v>
      </c>
      <c r="N32" s="929">
        <f t="shared" si="0"/>
        <v>51395.571152718381</v>
      </c>
    </row>
    <row r="33" spans="1:25">
      <c r="A33" s="119">
        <f t="shared" si="4"/>
        <v>2041</v>
      </c>
      <c r="B33" s="119">
        <f t="shared" si="4"/>
        <v>88</v>
      </c>
      <c r="C33" s="119">
        <f t="shared" si="4"/>
        <v>86</v>
      </c>
      <c r="D33" s="338">
        <f t="shared" si="3"/>
        <v>42007.242575772747</v>
      </c>
      <c r="E33" s="339">
        <f t="shared" si="2"/>
        <v>0</v>
      </c>
      <c r="F33" s="219">
        <v>0</v>
      </c>
      <c r="G33" s="219">
        <v>0</v>
      </c>
      <c r="H33" s="219">
        <v>10212</v>
      </c>
      <c r="I33" s="219">
        <v>0</v>
      </c>
      <c r="J33" s="219">
        <v>0</v>
      </c>
      <c r="K33" s="219">
        <v>0</v>
      </c>
      <c r="L33" s="219">
        <v>0</v>
      </c>
      <c r="M33" s="219">
        <v>0</v>
      </c>
      <c r="N33" s="45">
        <f t="shared" si="0"/>
        <v>52219.242575772747</v>
      </c>
    </row>
    <row r="34" spans="1:25">
      <c r="A34" s="119">
        <f t="shared" si="4"/>
        <v>2042</v>
      </c>
      <c r="B34" s="119">
        <f t="shared" si="4"/>
        <v>89</v>
      </c>
      <c r="C34" s="119">
        <f t="shared" si="4"/>
        <v>87</v>
      </c>
      <c r="D34" s="338">
        <f t="shared" si="3"/>
        <v>42847.387427288202</v>
      </c>
      <c r="E34" s="339">
        <f t="shared" si="2"/>
        <v>0</v>
      </c>
      <c r="F34" s="219">
        <v>0</v>
      </c>
      <c r="G34" s="219">
        <v>0</v>
      </c>
      <c r="H34" s="219">
        <v>10212</v>
      </c>
      <c r="I34" s="219">
        <v>0</v>
      </c>
      <c r="J34" s="219">
        <v>0</v>
      </c>
      <c r="K34" s="219">
        <v>0</v>
      </c>
      <c r="L34" s="219">
        <v>0</v>
      </c>
      <c r="M34" s="219">
        <v>0</v>
      </c>
      <c r="N34" s="45">
        <f t="shared" si="0"/>
        <v>53059.387427288202</v>
      </c>
    </row>
    <row r="35" spans="1:25">
      <c r="A35" s="119">
        <f t="shared" si="4"/>
        <v>2043</v>
      </c>
      <c r="B35" s="119">
        <f t="shared" si="4"/>
        <v>90</v>
      </c>
      <c r="C35" s="119">
        <f t="shared" si="4"/>
        <v>88</v>
      </c>
      <c r="D35" s="338">
        <f t="shared" si="3"/>
        <v>43704.33517583397</v>
      </c>
      <c r="E35" s="339">
        <f t="shared" si="2"/>
        <v>0</v>
      </c>
      <c r="F35" s="219">
        <v>0</v>
      </c>
      <c r="G35" s="219">
        <v>0</v>
      </c>
      <c r="H35" s="219">
        <v>10212</v>
      </c>
      <c r="I35" s="219">
        <v>0</v>
      </c>
      <c r="J35" s="219">
        <v>0</v>
      </c>
      <c r="K35" s="219">
        <v>0</v>
      </c>
      <c r="L35" s="219">
        <v>0</v>
      </c>
      <c r="M35" s="219">
        <v>0</v>
      </c>
      <c r="N35" s="45">
        <f t="shared" si="0"/>
        <v>53916.33517583397</v>
      </c>
    </row>
    <row r="36" spans="1:25">
      <c r="A36" s="119">
        <f t="shared" si="4"/>
        <v>2044</v>
      </c>
      <c r="B36" s="119">
        <f t="shared" si="4"/>
        <v>91</v>
      </c>
      <c r="C36" s="119">
        <f t="shared" si="4"/>
        <v>89</v>
      </c>
      <c r="D36" s="338">
        <f t="shared" si="3"/>
        <v>44578.421879350652</v>
      </c>
      <c r="E36" s="339">
        <f t="shared" si="2"/>
        <v>0</v>
      </c>
      <c r="F36" s="219">
        <v>0</v>
      </c>
      <c r="G36" s="219">
        <v>0</v>
      </c>
      <c r="H36" s="219">
        <v>10212</v>
      </c>
      <c r="I36" s="219">
        <v>0</v>
      </c>
      <c r="J36" s="219">
        <v>0</v>
      </c>
      <c r="K36" s="219">
        <v>0</v>
      </c>
      <c r="L36" s="219">
        <v>0</v>
      </c>
      <c r="M36" s="219">
        <v>0</v>
      </c>
      <c r="N36" s="45">
        <f t="shared" si="0"/>
        <v>54790.421879350652</v>
      </c>
    </row>
    <row r="37" spans="1:25">
      <c r="A37" s="119">
        <f t="shared" si="4"/>
        <v>2045</v>
      </c>
      <c r="B37" s="119">
        <f t="shared" si="4"/>
        <v>92</v>
      </c>
      <c r="C37" s="119">
        <f t="shared" si="4"/>
        <v>90</v>
      </c>
      <c r="D37" s="338">
        <f t="shared" si="3"/>
        <v>45469.990316937663</v>
      </c>
      <c r="E37" s="339">
        <f t="shared" si="2"/>
        <v>0</v>
      </c>
      <c r="F37" s="219">
        <v>0</v>
      </c>
      <c r="G37" s="219">
        <v>0</v>
      </c>
      <c r="H37" s="219">
        <v>10212</v>
      </c>
      <c r="I37" s="219">
        <v>0</v>
      </c>
      <c r="J37" s="219">
        <v>0</v>
      </c>
      <c r="K37" s="219">
        <v>0</v>
      </c>
      <c r="L37" s="219">
        <v>0</v>
      </c>
      <c r="M37" s="219">
        <v>0</v>
      </c>
      <c r="N37" s="45">
        <f t="shared" si="0"/>
        <v>55681.990316937663</v>
      </c>
    </row>
    <row r="38" spans="1:25">
      <c r="A38" s="137">
        <f t="shared" si="4"/>
        <v>2046</v>
      </c>
      <c r="B38" s="137">
        <f t="shared" si="4"/>
        <v>93</v>
      </c>
      <c r="C38" s="137">
        <f t="shared" si="4"/>
        <v>91</v>
      </c>
      <c r="D38" s="338">
        <f t="shared" si="3"/>
        <v>46379.390123276418</v>
      </c>
      <c r="E38" s="339">
        <f t="shared" si="2"/>
        <v>0</v>
      </c>
      <c r="F38" s="219">
        <v>0</v>
      </c>
      <c r="G38" s="219">
        <v>0</v>
      </c>
      <c r="H38" s="219">
        <v>10212</v>
      </c>
      <c r="I38" s="219">
        <v>0</v>
      </c>
      <c r="J38" s="219">
        <v>0</v>
      </c>
      <c r="K38" s="219">
        <v>0</v>
      </c>
      <c r="L38" s="219">
        <v>0</v>
      </c>
      <c r="M38" s="219">
        <v>0</v>
      </c>
      <c r="N38" s="45">
        <f t="shared" si="0"/>
        <v>56591.390123276418</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10">
    <mergeCell ref="D5:L5"/>
    <mergeCell ref="D6:L6"/>
    <mergeCell ref="D7:L7"/>
    <mergeCell ref="A10:C10"/>
    <mergeCell ref="J1:M1"/>
    <mergeCell ref="F2:I2"/>
    <mergeCell ref="L2:M2"/>
    <mergeCell ref="C3:M3"/>
    <mergeCell ref="E4:F4"/>
    <mergeCell ref="H4:I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tint="-0.49995422223578601"/>
  </sheetPr>
  <dimension ref="A1:N71"/>
  <sheetViews>
    <sheetView showGridLines="0" workbookViewId="0"/>
  </sheetViews>
  <sheetFormatPr defaultColWidth="9.125" defaultRowHeight="12.45"/>
  <cols>
    <col min="1" max="1" width="18.125" customWidth="1"/>
    <col min="2" max="2" width="17.625" customWidth="1"/>
    <col min="3" max="3" width="18.125" customWidth="1"/>
    <col min="10" max="10" width="22" customWidth="1"/>
    <col min="11" max="11" width="18.625" customWidth="1"/>
    <col min="12" max="12" width="22" customWidth="1"/>
    <col min="13" max="13" width="20" customWidth="1"/>
  </cols>
  <sheetData>
    <row r="1" spans="1:13" ht="24.25">
      <c r="A1" s="135" t="s">
        <v>72</v>
      </c>
      <c r="B1" s="134" t="s">
        <v>73</v>
      </c>
      <c r="C1" s="133" t="s">
        <v>74</v>
      </c>
      <c r="D1" s="1985" t="s">
        <v>604</v>
      </c>
      <c r="E1" s="1721"/>
      <c r="F1" s="1721"/>
      <c r="G1" s="1721"/>
      <c r="H1" s="1721"/>
      <c r="I1" s="1721"/>
      <c r="J1" s="1721"/>
      <c r="K1" s="1721"/>
      <c r="L1" s="1721"/>
      <c r="M1" s="1721"/>
    </row>
    <row r="2" spans="1:13" ht="18.350000000000001">
      <c r="A2" s="296">
        <v>50000</v>
      </c>
      <c r="B2" s="298">
        <f>'Egan Asset Summary'!M31</f>
        <v>0</v>
      </c>
      <c r="C2" s="297">
        <f>'Egan Asset Summary'!M30</f>
        <v>188000</v>
      </c>
      <c r="D2" s="1586"/>
      <c r="E2" s="1586"/>
      <c r="F2" s="1586"/>
      <c r="G2" s="1586"/>
      <c r="H2" s="1586"/>
      <c r="I2" s="1586"/>
      <c r="J2" s="1586"/>
      <c r="K2" s="1586"/>
      <c r="L2" s="1586"/>
      <c r="M2" s="1586"/>
    </row>
    <row r="3" spans="1:13" ht="26.2">
      <c r="A3" s="34"/>
      <c r="B3" s="118"/>
      <c r="C3" s="35"/>
      <c r="D3" s="1588" t="s">
        <v>76</v>
      </c>
      <c r="E3" s="1588"/>
      <c r="F3" s="1588"/>
      <c r="G3" s="1588"/>
      <c r="H3" s="1588"/>
      <c r="I3" s="1588"/>
      <c r="J3" s="385">
        <v>80000</v>
      </c>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401</v>
      </c>
      <c r="J8" s="1574"/>
      <c r="K8" s="1574"/>
      <c r="L8" s="1574"/>
      <c r="M8" s="289"/>
    </row>
    <row r="9" spans="1:13" ht="18" customHeight="1">
      <c r="I9" s="1727" t="s">
        <v>402</v>
      </c>
      <c r="J9" s="1728"/>
      <c r="K9" s="1728"/>
      <c r="L9" s="1728"/>
      <c r="M9" s="262"/>
    </row>
    <row r="10" spans="1:13" ht="17.55" customHeight="1">
      <c r="I10" s="1729"/>
      <c r="J10" s="1730"/>
      <c r="K10" s="1730"/>
      <c r="L10" s="1730"/>
      <c r="M10" s="262"/>
    </row>
    <row r="11" spans="1:13" ht="26.2">
      <c r="I11" s="1573" t="s">
        <v>403</v>
      </c>
      <c r="J11" s="1573"/>
      <c r="K11" s="1573"/>
      <c r="L11" s="1573"/>
      <c r="M11" s="1573"/>
    </row>
    <row r="12" spans="1:13" ht="20.3">
      <c r="I12" s="1731"/>
      <c r="J12" s="1731"/>
      <c r="K12" s="1731"/>
      <c r="L12" s="1731"/>
      <c r="M12" s="1731"/>
    </row>
    <row r="13" spans="1:13" ht="20.3">
      <c r="I13" s="1571"/>
      <c r="J13" s="1572"/>
      <c r="K13" s="1572"/>
      <c r="L13" s="1572"/>
      <c r="M13" s="674"/>
    </row>
    <row r="14" spans="1:13" ht="20.3">
      <c r="I14" s="1582" t="s">
        <v>404</v>
      </c>
      <c r="J14" s="1582"/>
      <c r="K14" s="232" t="s">
        <v>405</v>
      </c>
      <c r="L14" s="685" t="s">
        <v>406</v>
      </c>
      <c r="M14" s="673"/>
    </row>
    <row r="15" spans="1:13" ht="18.350000000000001">
      <c r="I15" s="320" t="s">
        <v>83</v>
      </c>
      <c r="J15" s="236">
        <f>J3</f>
        <v>80000</v>
      </c>
      <c r="K15" s="236">
        <f>J3</f>
        <v>80000</v>
      </c>
      <c r="L15" s="236">
        <f>J3</f>
        <v>80000</v>
      </c>
      <c r="M15" s="674" t="s">
        <v>85</v>
      </c>
    </row>
    <row r="16" spans="1:13" ht="23.6">
      <c r="I16" s="238" t="s">
        <v>84</v>
      </c>
      <c r="J16" s="682">
        <f>'Alt Cash Flow  Snapshot No Plan'!M31</f>
        <v>40420.221552223491</v>
      </c>
      <c r="K16" s="681">
        <v>45000</v>
      </c>
      <c r="L16" s="684" t="e">
        <f>#REF!</f>
        <v>#REF!</v>
      </c>
      <c r="M16" s="703" t="s">
        <v>87</v>
      </c>
    </row>
    <row r="17" spans="9:14" ht="18.350000000000001">
      <c r="I17" s="634" t="s">
        <v>86</v>
      </c>
      <c r="J17" s="732">
        <f>J15-J16</f>
        <v>39579.778447776509</v>
      </c>
      <c r="K17" s="261">
        <f>K15-K16</f>
        <v>35000</v>
      </c>
      <c r="L17" s="261" t="e">
        <f>L15-L16</f>
        <v>#REF!</v>
      </c>
      <c r="M17" s="349"/>
    </row>
    <row r="18" spans="9:14" ht="15.05">
      <c r="I18" s="265" t="s">
        <v>88</v>
      </c>
      <c r="J18" s="192" t="s">
        <v>96</v>
      </c>
      <c r="K18" s="702" t="s">
        <v>89</v>
      </c>
      <c r="L18" s="702" t="s">
        <v>89</v>
      </c>
      <c r="M18" s="349"/>
    </row>
    <row r="19" spans="9:14" ht="20.3">
      <c r="I19" s="1579" t="s">
        <v>407</v>
      </c>
      <c r="J19" s="1579"/>
      <c r="K19" s="1579"/>
      <c r="L19" s="1579"/>
      <c r="M19" s="1579"/>
    </row>
    <row r="20" spans="9:14" ht="24.25">
      <c r="I20" s="680"/>
      <c r="J20" s="680"/>
      <c r="K20" s="693">
        <f>'Alt Cash Flow  Snapshot No Plan'!M31</f>
        <v>40420.221552223491</v>
      </c>
      <c r="L20" s="680"/>
      <c r="M20" s="35"/>
    </row>
    <row r="22" spans="9:14" ht="18" customHeight="1"/>
    <row r="23" spans="9:14" ht="17.55" customHeight="1">
      <c r="I23" s="1576" t="s">
        <v>408</v>
      </c>
      <c r="J23" s="1577"/>
      <c r="K23" s="1577"/>
      <c r="L23" s="1577"/>
      <c r="M23" s="1577"/>
    </row>
    <row r="24" spans="9:14" ht="18" customHeight="1">
      <c r="I24" s="1576" t="s">
        <v>409</v>
      </c>
      <c r="J24" s="1576"/>
      <c r="K24" s="1576"/>
      <c r="L24" s="1576"/>
      <c r="M24" s="157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8">
    <mergeCell ref="I12:M12"/>
    <mergeCell ref="D1:M1"/>
    <mergeCell ref="D2:M2"/>
    <mergeCell ref="D3:I3"/>
    <mergeCell ref="I4:M4"/>
    <mergeCell ref="I5:M5"/>
    <mergeCell ref="I6:M6"/>
    <mergeCell ref="I7:M7"/>
    <mergeCell ref="I8:L8"/>
    <mergeCell ref="I9:L9"/>
    <mergeCell ref="I10:L10"/>
    <mergeCell ref="I11:M11"/>
    <mergeCell ref="I37:M37"/>
    <mergeCell ref="I13:L13"/>
    <mergeCell ref="I19:M19"/>
    <mergeCell ref="I23:M23"/>
    <mergeCell ref="I24:M24"/>
    <mergeCell ref="I14:J14"/>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1"/>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86" t="s">
        <v>605</v>
      </c>
      <c r="J1" s="1986"/>
      <c r="K1" s="1986"/>
      <c r="L1" s="1986"/>
      <c r="M1" s="686">
        <f>'Egan Asset Summary'!O3</f>
        <v>0</v>
      </c>
      <c r="N1" s="211"/>
      <c r="R1" s="89"/>
    </row>
    <row r="2" spans="1:24" ht="20.3">
      <c r="A2" s="211"/>
      <c r="B2" s="209"/>
      <c r="C2" s="710"/>
      <c r="D2" s="595"/>
      <c r="E2" s="1987" t="s">
        <v>606</v>
      </c>
      <c r="F2" s="1987"/>
      <c r="G2" s="1987"/>
      <c r="H2" s="1987"/>
      <c r="I2" s="1987"/>
      <c r="J2" s="1987"/>
      <c r="K2" s="1987"/>
      <c r="L2" s="717"/>
      <c r="M2" s="593"/>
      <c r="N2" s="211"/>
    </row>
    <row r="3" spans="1:24" ht="24.05" customHeight="1">
      <c r="A3" s="211"/>
      <c r="B3" s="209"/>
      <c r="C3" s="1981" t="s">
        <v>588</v>
      </c>
      <c r="D3" s="1981"/>
      <c r="E3" s="1981"/>
      <c r="F3" s="1981"/>
      <c r="G3" s="1981"/>
      <c r="H3" s="1981"/>
      <c r="I3" s="1981"/>
      <c r="J3" s="1981"/>
      <c r="K3" s="1981"/>
      <c r="L3" s="1981"/>
      <c r="M3" s="707">
        <v>168300</v>
      </c>
      <c r="N3" s="211"/>
    </row>
    <row r="4" spans="1:24" ht="17.7">
      <c r="A4" s="211"/>
      <c r="B4" s="209"/>
      <c r="C4" s="1604" t="s">
        <v>607</v>
      </c>
      <c r="D4" s="1988"/>
      <c r="E4" s="1988"/>
      <c r="F4" s="1988"/>
      <c r="G4" s="1988"/>
      <c r="H4" s="1988"/>
      <c r="I4" s="1988"/>
      <c r="J4" s="1988"/>
      <c r="K4" s="1988"/>
      <c r="L4" s="1988"/>
      <c r="M4" s="596"/>
      <c r="N4" s="211"/>
    </row>
    <row r="5" spans="1:24" ht="15.05">
      <c r="A5" s="211"/>
      <c r="B5" s="209"/>
      <c r="C5" s="599"/>
      <c r="D5" s="1973"/>
      <c r="E5" s="1973"/>
      <c r="F5" s="1973"/>
      <c r="G5" s="1973"/>
      <c r="H5" s="1973"/>
      <c r="I5" s="1973"/>
      <c r="J5" s="1973"/>
      <c r="K5" s="1973"/>
      <c r="L5" s="687">
        <f>'Egan Asset Summary'!L4</f>
        <v>0</v>
      </c>
      <c r="M5" s="689">
        <f>'Egan Asset Summary'!O4</f>
        <v>0</v>
      </c>
      <c r="N5" s="211"/>
    </row>
    <row r="6" spans="1:24" ht="15.05">
      <c r="A6" s="211"/>
      <c r="B6" s="209"/>
      <c r="C6" s="599"/>
      <c r="D6" s="1974"/>
      <c r="E6" s="1974"/>
      <c r="F6" s="1974"/>
      <c r="G6" s="1974"/>
      <c r="H6" s="1974"/>
      <c r="I6" s="1974"/>
      <c r="J6" s="1974"/>
      <c r="K6" s="1974"/>
      <c r="L6" s="688">
        <f>'Egan Asset Summary'!M5</f>
        <v>0</v>
      </c>
      <c r="M6" s="690">
        <f>'Egan Asset Summary'!O5</f>
        <v>0</v>
      </c>
      <c r="N6" s="211"/>
    </row>
    <row r="7" spans="1:24">
      <c r="A7" s="600"/>
      <c r="B7" s="209"/>
      <c r="C7" s="599"/>
      <c r="D7" s="1975"/>
      <c r="E7" s="1976"/>
      <c r="F7" s="1976"/>
      <c r="G7" s="1976"/>
      <c r="H7" s="1976"/>
      <c r="I7" s="1976"/>
      <c r="J7" s="1976"/>
      <c r="K7" s="1976"/>
      <c r="M7" s="597"/>
      <c r="N7" s="211"/>
    </row>
    <row r="8" spans="1:24"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613</v>
      </c>
      <c r="M8" s="149"/>
      <c r="N8" s="36" t="s">
        <v>614</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2" t="s">
        <v>34</v>
      </c>
      <c r="B10" s="1532"/>
      <c r="C10" s="1977"/>
      <c r="D10" s="668" t="s">
        <v>615</v>
      </c>
      <c r="E10" s="668" t="s">
        <v>616</v>
      </c>
      <c r="F10" s="299" t="s">
        <v>617</v>
      </c>
      <c r="G10" s="299" t="s">
        <v>618</v>
      </c>
      <c r="H10" s="343" t="s">
        <v>619</v>
      </c>
      <c r="I10" s="343" t="s">
        <v>620</v>
      </c>
      <c r="J10" s="299" t="s">
        <v>621</v>
      </c>
      <c r="K10" s="299" t="s">
        <v>622</v>
      </c>
      <c r="L10" s="299" t="s">
        <v>623</v>
      </c>
      <c r="M10" s="691" t="s">
        <v>624</v>
      </c>
      <c r="N10" s="299" t="s">
        <v>625</v>
      </c>
    </row>
    <row r="11" spans="1:24">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f t="shared" si="1"/>
        <v>2</v>
      </c>
      <c r="C13" s="119">
        <f t="shared" si="1"/>
        <v>2</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45">
        <f t="shared" si="0"/>
        <v>128188</v>
      </c>
      <c r="N14" s="219">
        <v>0</v>
      </c>
    </row>
    <row r="15" spans="1:24">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720">
        <f t="shared" si="0"/>
        <v>119857.89</v>
      </c>
      <c r="N15" s="719">
        <v>17588.84</v>
      </c>
    </row>
    <row r="16" spans="1:24">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45">
        <f t="shared" si="0"/>
        <v>120396.93000000001</v>
      </c>
      <c r="N16" s="219">
        <v>0</v>
      </c>
    </row>
    <row r="17" spans="1:14">
      <c r="A17" s="155">
        <f t="shared" si="1"/>
        <v>2025</v>
      </c>
      <c r="B17" s="119">
        <f t="shared" si="1"/>
        <v>6</v>
      </c>
      <c r="C17" s="119">
        <f t="shared" si="1"/>
        <v>6</v>
      </c>
      <c r="D17" s="219">
        <v>0</v>
      </c>
      <c r="E17" s="339">
        <f t="shared" ref="E17:E38" si="2">E16*1.02</f>
        <v>28040.860800000002</v>
      </c>
      <c r="F17" s="219">
        <v>73800</v>
      </c>
      <c r="G17" s="219">
        <v>0</v>
      </c>
      <c r="H17" s="219">
        <v>0</v>
      </c>
      <c r="I17" s="219">
        <v>7380</v>
      </c>
      <c r="J17" s="719">
        <v>11725.89</v>
      </c>
      <c r="K17" s="219">
        <v>0</v>
      </c>
      <c r="L17" s="219">
        <v>0</v>
      </c>
      <c r="M17" s="45">
        <f t="shared" si="0"/>
        <v>120946.75079999999</v>
      </c>
      <c r="N17" s="219">
        <v>0</v>
      </c>
    </row>
    <row r="18" spans="1:14">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45">
        <f t="shared" si="0"/>
        <v>103529.568016</v>
      </c>
      <c r="N18" s="219">
        <v>0</v>
      </c>
    </row>
    <row r="19" spans="1:14">
      <c r="A19" s="119">
        <f t="shared" si="1"/>
        <v>2027</v>
      </c>
      <c r="B19" s="119">
        <f t="shared" si="1"/>
        <v>8</v>
      </c>
      <c r="C19" s="119">
        <f t="shared" si="1"/>
        <v>8</v>
      </c>
      <c r="D19" s="338">
        <v>29124</v>
      </c>
      <c r="E19" s="339">
        <f t="shared" si="2"/>
        <v>29173.711576320002</v>
      </c>
      <c r="F19" s="219">
        <v>0</v>
      </c>
      <c r="G19" s="219">
        <v>0</v>
      </c>
      <c r="H19" s="338">
        <v>10608</v>
      </c>
      <c r="I19" s="339">
        <v>7380</v>
      </c>
      <c r="J19" s="719">
        <v>11725.89</v>
      </c>
      <c r="K19" s="719">
        <v>7487.9</v>
      </c>
      <c r="L19" s="719">
        <v>15492.2</v>
      </c>
      <c r="M19" s="613">
        <f t="shared" si="0"/>
        <v>110991.70157631999</v>
      </c>
      <c r="N19" s="719">
        <v>30726.2</v>
      </c>
    </row>
    <row r="20" spans="1:14">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15492.2</v>
      </c>
      <c r="M20" s="45">
        <f t="shared" si="0"/>
        <v>112157.6558078464</v>
      </c>
      <c r="N20" s="219">
        <v>0</v>
      </c>
    </row>
    <row r="21" spans="1:14">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15492.2</v>
      </c>
      <c r="M21" s="45">
        <f t="shared" si="0"/>
        <v>113346.92912400332</v>
      </c>
      <c r="N21" s="219">
        <v>0</v>
      </c>
    </row>
    <row r="22" spans="1:14">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15492.2</v>
      </c>
      <c r="M22" s="45">
        <f t="shared" si="0"/>
        <v>114559.98790648339</v>
      </c>
      <c r="N22" s="219">
        <v>0</v>
      </c>
    </row>
    <row r="23" spans="1:14">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15492.2</v>
      </c>
      <c r="M23" s="45">
        <f t="shared" si="0"/>
        <v>115797.30786461306</v>
      </c>
      <c r="N23" s="219">
        <v>0</v>
      </c>
    </row>
    <row r="24" spans="1:14">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15492.2</v>
      </c>
      <c r="M24" s="45">
        <f t="shared" si="0"/>
        <v>117059.37422190532</v>
      </c>
      <c r="N24" s="219">
        <v>0</v>
      </c>
    </row>
    <row r="25" spans="1:14">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15492.2</v>
      </c>
      <c r="M25" s="45">
        <f t="shared" si="0"/>
        <v>118346.68190634344</v>
      </c>
      <c r="N25" s="219">
        <v>0</v>
      </c>
    </row>
    <row r="26" spans="1:14">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15492.2</v>
      </c>
      <c r="M26" s="45">
        <f t="shared" si="0"/>
        <v>119659.73574447029</v>
      </c>
      <c r="N26" s="219">
        <v>0</v>
      </c>
    </row>
    <row r="27" spans="1:14">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15492.2</v>
      </c>
      <c r="M27" s="45">
        <f t="shared" si="0"/>
        <v>120999.05065935971</v>
      </c>
      <c r="N27" s="219">
        <v>0</v>
      </c>
    </row>
    <row r="28" spans="1:14">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15492.2</v>
      </c>
      <c r="M28" s="45">
        <f t="shared" si="0"/>
        <v>122365.15187254691</v>
      </c>
      <c r="N28" s="219">
        <v>0</v>
      </c>
    </row>
    <row r="29" spans="1:14">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15492.2</v>
      </c>
      <c r="M29" s="45">
        <f t="shared" si="0"/>
        <v>123758.57510999785</v>
      </c>
      <c r="N29" s="219">
        <v>0</v>
      </c>
    </row>
    <row r="30" spans="1:14">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15492.2</v>
      </c>
      <c r="M30" s="45">
        <f t="shared" si="0"/>
        <v>125179.86681219781</v>
      </c>
      <c r="N30" s="219">
        <v>0</v>
      </c>
    </row>
    <row r="31" spans="1:14">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15492.2</v>
      </c>
      <c r="M31" s="45">
        <f t="shared" si="0"/>
        <v>126629.58434844177</v>
      </c>
      <c r="N31" s="219">
        <v>0</v>
      </c>
    </row>
    <row r="32" spans="1:14">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15492.2</v>
      </c>
      <c r="M32" s="45">
        <f t="shared" si="0"/>
        <v>128108.2962354106</v>
      </c>
      <c r="N32" s="219">
        <v>0</v>
      </c>
    </row>
    <row r="33" spans="1:24">
      <c r="A33" s="119">
        <f t="shared" si="4"/>
        <v>2041</v>
      </c>
      <c r="B33" s="119">
        <f t="shared" si="4"/>
        <v>22</v>
      </c>
      <c r="C33" s="119">
        <f t="shared" si="4"/>
        <v>22</v>
      </c>
      <c r="D33" s="338">
        <f t="shared" si="3"/>
        <v>38428.499495443095</v>
      </c>
      <c r="E33" s="339">
        <f t="shared" si="2"/>
        <v>38494.092864675724</v>
      </c>
      <c r="F33" s="219">
        <v>0</v>
      </c>
      <c r="G33" s="219">
        <v>0</v>
      </c>
      <c r="H33" s="219">
        <v>10608</v>
      </c>
      <c r="I33" s="219">
        <v>7380</v>
      </c>
      <c r="J33" s="719">
        <v>11725.89</v>
      </c>
      <c r="K33" s="719">
        <v>7487.9</v>
      </c>
      <c r="L33" s="719">
        <v>15492.2</v>
      </c>
      <c r="M33" s="45">
        <f t="shared" si="0"/>
        <v>129616.5823601188</v>
      </c>
      <c r="N33" s="219">
        <v>0</v>
      </c>
    </row>
    <row r="34" spans="1:24">
      <c r="A34" s="119">
        <f t="shared" si="4"/>
        <v>2042</v>
      </c>
      <c r="B34" s="119">
        <f t="shared" si="4"/>
        <v>23</v>
      </c>
      <c r="C34" s="119">
        <f t="shared" si="4"/>
        <v>23</v>
      </c>
      <c r="D34" s="338">
        <f t="shared" si="3"/>
        <v>39197.06948535196</v>
      </c>
      <c r="E34" s="339">
        <f t="shared" si="2"/>
        <v>39263.974721969236</v>
      </c>
      <c r="F34" s="219">
        <v>0</v>
      </c>
      <c r="G34" s="219">
        <v>0</v>
      </c>
      <c r="H34" s="219">
        <v>10608</v>
      </c>
      <c r="I34" s="219">
        <v>7380</v>
      </c>
      <c r="J34" s="719">
        <v>11725.89</v>
      </c>
      <c r="K34" s="719">
        <v>7487.9</v>
      </c>
      <c r="L34" s="719">
        <v>15492.2</v>
      </c>
      <c r="M34" s="45">
        <f t="shared" si="0"/>
        <v>131155.03420732118</v>
      </c>
      <c r="N34" s="219">
        <v>0</v>
      </c>
    </row>
    <row r="35" spans="1:24">
      <c r="A35" s="119">
        <f t="shared" si="4"/>
        <v>2043</v>
      </c>
      <c r="B35" s="119">
        <f t="shared" si="4"/>
        <v>24</v>
      </c>
      <c r="C35" s="119">
        <f t="shared" si="4"/>
        <v>24</v>
      </c>
      <c r="D35" s="338">
        <f t="shared" si="3"/>
        <v>39981.010875059001</v>
      </c>
      <c r="E35" s="339">
        <f t="shared" si="2"/>
        <v>40049.254216408619</v>
      </c>
      <c r="F35" s="219">
        <v>0</v>
      </c>
      <c r="G35" s="219">
        <v>0</v>
      </c>
      <c r="H35" s="219">
        <v>10608</v>
      </c>
      <c r="I35" s="219">
        <v>7380</v>
      </c>
      <c r="J35" s="719">
        <v>11725.89</v>
      </c>
      <c r="K35" s="719">
        <v>7487.9</v>
      </c>
      <c r="L35" s="719">
        <v>15492.2</v>
      </c>
      <c r="M35" s="45">
        <f t="shared" si="0"/>
        <v>132724.25509146761</v>
      </c>
      <c r="N35" s="219">
        <v>0</v>
      </c>
    </row>
    <row r="36" spans="1:24">
      <c r="A36" s="119">
        <f t="shared" si="4"/>
        <v>2044</v>
      </c>
      <c r="B36" s="119">
        <f t="shared" si="4"/>
        <v>25</v>
      </c>
      <c r="C36" s="119">
        <f t="shared" si="4"/>
        <v>25</v>
      </c>
      <c r="D36" s="338">
        <f t="shared" si="3"/>
        <v>40780.631092560179</v>
      </c>
      <c r="E36" s="339">
        <f t="shared" si="2"/>
        <v>40850.239300736794</v>
      </c>
      <c r="F36" s="219">
        <v>0</v>
      </c>
      <c r="G36" s="219">
        <v>0</v>
      </c>
      <c r="H36" s="219">
        <v>10608</v>
      </c>
      <c r="I36" s="219">
        <v>7380</v>
      </c>
      <c r="J36" s="719">
        <v>11725.89</v>
      </c>
      <c r="K36" s="719">
        <v>7487.9</v>
      </c>
      <c r="L36" s="719">
        <v>15492.2</v>
      </c>
      <c r="M36" s="45">
        <f t="shared" si="0"/>
        <v>134324.86039329696</v>
      </c>
      <c r="N36" s="219">
        <v>0</v>
      </c>
    </row>
    <row r="37" spans="1:24">
      <c r="A37" s="119">
        <f t="shared" si="4"/>
        <v>2045</v>
      </c>
      <c r="B37" s="119">
        <f t="shared" si="4"/>
        <v>26</v>
      </c>
      <c r="C37" s="119">
        <f t="shared" si="4"/>
        <v>26</v>
      </c>
      <c r="D37" s="338">
        <f t="shared" si="3"/>
        <v>41596.243714411386</v>
      </c>
      <c r="E37" s="339">
        <f t="shared" si="2"/>
        <v>41667.244086751532</v>
      </c>
      <c r="F37" s="219">
        <v>0</v>
      </c>
      <c r="G37" s="219">
        <v>0</v>
      </c>
      <c r="H37" s="219">
        <v>10608</v>
      </c>
      <c r="I37" s="219">
        <v>7380</v>
      </c>
      <c r="J37" s="719">
        <v>11725.89</v>
      </c>
      <c r="K37" s="719">
        <v>7487.9</v>
      </c>
      <c r="L37" s="719">
        <v>15492.2</v>
      </c>
      <c r="M37" s="45">
        <f t="shared" si="0"/>
        <v>135957.47780116292</v>
      </c>
      <c r="N37" s="219">
        <v>0</v>
      </c>
    </row>
    <row r="38" spans="1:24">
      <c r="A38" s="137">
        <f t="shared" si="4"/>
        <v>2046</v>
      </c>
      <c r="B38" s="137">
        <f t="shared" si="4"/>
        <v>27</v>
      </c>
      <c r="C38" s="137">
        <f t="shared" si="4"/>
        <v>27</v>
      </c>
      <c r="D38" s="338">
        <f t="shared" si="3"/>
        <v>42428.168588699613</v>
      </c>
      <c r="E38" s="339">
        <f t="shared" si="2"/>
        <v>42500.588968486561</v>
      </c>
      <c r="F38" s="219">
        <v>0</v>
      </c>
      <c r="G38" s="219">
        <v>0</v>
      </c>
      <c r="H38" s="219">
        <v>10608</v>
      </c>
      <c r="I38" s="219">
        <v>7380</v>
      </c>
      <c r="J38" s="719">
        <v>11725.89</v>
      </c>
      <c r="K38" s="719">
        <v>7487.9</v>
      </c>
      <c r="L38" s="719">
        <v>15492.2</v>
      </c>
      <c r="M38" s="45">
        <f t="shared" si="0"/>
        <v>137622.74755718617</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59996337778862885"/>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86" t="s">
        <v>605</v>
      </c>
      <c r="J1" s="1986"/>
      <c r="K1" s="1986"/>
      <c r="L1" s="1986"/>
      <c r="M1" s="686">
        <f>'Egan Asset Summary'!O3</f>
        <v>0</v>
      </c>
      <c r="N1" s="211"/>
      <c r="R1" s="89"/>
    </row>
    <row r="2" spans="1:24" ht="20.3">
      <c r="A2" s="211"/>
      <c r="B2" s="209"/>
      <c r="C2" s="710"/>
      <c r="D2" s="595"/>
      <c r="E2" s="1979" t="s">
        <v>626</v>
      </c>
      <c r="F2" s="1979"/>
      <c r="G2" s="1979"/>
      <c r="H2" s="1979"/>
      <c r="I2" s="1979"/>
      <c r="J2" s="1979"/>
      <c r="K2" s="1979"/>
      <c r="L2" s="717"/>
      <c r="M2" s="593"/>
      <c r="N2" s="211"/>
    </row>
    <row r="3" spans="1:24" ht="24.05" customHeight="1">
      <c r="A3" s="211"/>
      <c r="B3" s="209"/>
      <c r="C3" s="1981" t="s">
        <v>588</v>
      </c>
      <c r="D3" s="1981"/>
      <c r="E3" s="1981"/>
      <c r="F3" s="1981"/>
      <c r="G3" s="1981"/>
      <c r="H3" s="1981"/>
      <c r="I3" s="1981"/>
      <c r="J3" s="1981"/>
      <c r="K3" s="1981"/>
      <c r="L3" s="1981"/>
      <c r="M3" s="707">
        <v>168300</v>
      </c>
      <c r="N3" s="211"/>
    </row>
    <row r="4" spans="1:24" ht="17.7">
      <c r="A4" s="211"/>
      <c r="B4" s="209"/>
      <c r="C4" s="1604" t="s">
        <v>607</v>
      </c>
      <c r="D4" s="1988"/>
      <c r="E4" s="1988"/>
      <c r="F4" s="1988"/>
      <c r="G4" s="1988"/>
      <c r="H4" s="1988"/>
      <c r="I4" s="1988"/>
      <c r="J4" s="1988"/>
      <c r="K4" s="1988"/>
      <c r="L4" s="1988"/>
      <c r="M4" s="596"/>
      <c r="N4" s="211"/>
    </row>
    <row r="5" spans="1:24" ht="15.05">
      <c r="A5" s="211"/>
      <c r="B5" s="209"/>
      <c r="C5" s="599"/>
      <c r="D5" s="1973"/>
      <c r="E5" s="1973"/>
      <c r="F5" s="1973"/>
      <c r="G5" s="1973"/>
      <c r="H5" s="1973"/>
      <c r="I5" s="1973"/>
      <c r="J5" s="1973"/>
      <c r="K5" s="1973"/>
      <c r="L5" s="687">
        <f>'Egan Asset Summary'!L4</f>
        <v>0</v>
      </c>
      <c r="M5" s="689">
        <f>'Egan Asset Summary'!O4</f>
        <v>0</v>
      </c>
      <c r="N5" s="211"/>
    </row>
    <row r="6" spans="1:24" ht="15.05">
      <c r="A6" s="211"/>
      <c r="B6" s="209"/>
      <c r="C6" s="599"/>
      <c r="D6" s="1974"/>
      <c r="E6" s="1974"/>
      <c r="F6" s="1974"/>
      <c r="G6" s="1974"/>
      <c r="H6" s="1974"/>
      <c r="I6" s="1974"/>
      <c r="J6" s="1974"/>
      <c r="K6" s="1974"/>
      <c r="L6" s="688">
        <f>'Egan Asset Summary'!M5</f>
        <v>0</v>
      </c>
      <c r="M6" s="690">
        <f>'Egan Asset Summary'!O5</f>
        <v>0</v>
      </c>
      <c r="N6" s="211"/>
    </row>
    <row r="7" spans="1:24">
      <c r="A7" s="600"/>
      <c r="B7" s="209"/>
      <c r="C7" s="599"/>
      <c r="D7" s="1975"/>
      <c r="E7" s="1976"/>
      <c r="F7" s="1976"/>
      <c r="G7" s="1976"/>
      <c r="H7" s="1976"/>
      <c r="I7" s="1976"/>
      <c r="J7" s="1976"/>
      <c r="K7" s="1976"/>
      <c r="M7" s="597"/>
      <c r="N7" s="211"/>
    </row>
    <row r="8" spans="1:24"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613</v>
      </c>
      <c r="M8" s="149"/>
      <c r="N8" s="36" t="s">
        <v>614</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2" t="s">
        <v>34</v>
      </c>
      <c r="B10" s="1532"/>
      <c r="C10" s="1977"/>
      <c r="D10" s="668" t="s">
        <v>615</v>
      </c>
      <c r="E10" s="668" t="s">
        <v>616</v>
      </c>
      <c r="F10" s="299" t="s">
        <v>617</v>
      </c>
      <c r="G10" s="299" t="s">
        <v>618</v>
      </c>
      <c r="H10" s="343" t="s">
        <v>627</v>
      </c>
      <c r="I10" s="343" t="s">
        <v>620</v>
      </c>
      <c r="J10" s="299" t="s">
        <v>621</v>
      </c>
      <c r="K10" s="299" t="s">
        <v>622</v>
      </c>
      <c r="L10" s="299" t="s">
        <v>623</v>
      </c>
      <c r="M10" s="691" t="s">
        <v>624</v>
      </c>
      <c r="N10" s="299" t="s">
        <v>625</v>
      </c>
    </row>
    <row r="11" spans="1:24">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f t="shared" si="1"/>
        <v>2</v>
      </c>
      <c r="C13" s="119">
        <f t="shared" si="1"/>
        <v>2</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45">
        <f t="shared" si="0"/>
        <v>128188</v>
      </c>
      <c r="N14" s="219">
        <v>0</v>
      </c>
    </row>
    <row r="15" spans="1:24">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45">
        <f t="shared" si="0"/>
        <v>119857.89</v>
      </c>
      <c r="N15" s="719">
        <v>17588.84</v>
      </c>
    </row>
    <row r="16" spans="1:24">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45">
        <f t="shared" si="0"/>
        <v>120396.93000000001</v>
      </c>
      <c r="N16" s="219">
        <v>0</v>
      </c>
    </row>
    <row r="17" spans="1:14">
      <c r="A17" s="155">
        <f t="shared" si="1"/>
        <v>2025</v>
      </c>
      <c r="B17" s="119">
        <f t="shared" si="1"/>
        <v>6</v>
      </c>
      <c r="C17" s="119">
        <f t="shared" si="1"/>
        <v>6</v>
      </c>
      <c r="D17" s="219">
        <v>0</v>
      </c>
      <c r="E17" s="339">
        <f t="shared" ref="E17:E33" si="2">E16*1.02</f>
        <v>28040.860800000002</v>
      </c>
      <c r="F17" s="219">
        <v>73800</v>
      </c>
      <c r="G17" s="219">
        <v>0</v>
      </c>
      <c r="H17" s="219">
        <v>0</v>
      </c>
      <c r="I17" s="219">
        <v>7380</v>
      </c>
      <c r="J17" s="719">
        <v>11725.89</v>
      </c>
      <c r="K17" s="219">
        <v>0</v>
      </c>
      <c r="L17" s="219">
        <v>0</v>
      </c>
      <c r="M17" s="45">
        <f t="shared" si="0"/>
        <v>120946.75079999999</v>
      </c>
      <c r="N17" s="219">
        <v>0</v>
      </c>
    </row>
    <row r="18" spans="1:14">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45">
        <f t="shared" si="0"/>
        <v>103529.568016</v>
      </c>
      <c r="N18" s="219">
        <v>0</v>
      </c>
    </row>
    <row r="19" spans="1:14">
      <c r="A19" s="119">
        <f t="shared" si="1"/>
        <v>2027</v>
      </c>
      <c r="B19" s="119">
        <f t="shared" si="1"/>
        <v>8</v>
      </c>
      <c r="C19" s="119">
        <f t="shared" si="1"/>
        <v>8</v>
      </c>
      <c r="D19" s="338">
        <v>29124</v>
      </c>
      <c r="E19" s="339">
        <f t="shared" si="2"/>
        <v>29173.711576320002</v>
      </c>
      <c r="F19" s="219">
        <v>0</v>
      </c>
      <c r="G19" s="219">
        <v>0</v>
      </c>
      <c r="H19" s="219">
        <v>10608</v>
      </c>
      <c r="I19" s="219">
        <v>7380</v>
      </c>
      <c r="J19" s="719">
        <v>11725.89</v>
      </c>
      <c r="K19" s="719">
        <v>7487.9</v>
      </c>
      <c r="L19" s="719">
        <v>15492.2</v>
      </c>
      <c r="M19" s="708">
        <f t="shared" si="0"/>
        <v>110991.70157631999</v>
      </c>
      <c r="N19" s="719">
        <v>30726.2</v>
      </c>
    </row>
    <row r="20" spans="1:14">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15492.2</v>
      </c>
      <c r="M20" s="45">
        <f t="shared" si="0"/>
        <v>112157.6558078464</v>
      </c>
      <c r="N20" s="219">
        <v>0</v>
      </c>
    </row>
    <row r="21" spans="1:14">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15492.2</v>
      </c>
      <c r="M21" s="45">
        <f t="shared" si="0"/>
        <v>113346.92912400332</v>
      </c>
      <c r="N21" s="219">
        <v>0</v>
      </c>
    </row>
    <row r="22" spans="1:14">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15492.2</v>
      </c>
      <c r="M22" s="45">
        <f t="shared" si="0"/>
        <v>114559.98790648339</v>
      </c>
      <c r="N22" s="219">
        <v>0</v>
      </c>
    </row>
    <row r="23" spans="1:14">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15492.2</v>
      </c>
      <c r="M23" s="45">
        <f t="shared" si="0"/>
        <v>115797.30786461306</v>
      </c>
      <c r="N23" s="219">
        <v>0</v>
      </c>
    </row>
    <row r="24" spans="1:14">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15492.2</v>
      </c>
      <c r="M24" s="45">
        <f t="shared" si="0"/>
        <v>117059.37422190532</v>
      </c>
      <c r="N24" s="219">
        <v>0</v>
      </c>
    </row>
    <row r="25" spans="1:14">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15492.2</v>
      </c>
      <c r="M25" s="45">
        <f t="shared" si="0"/>
        <v>118346.68190634344</v>
      </c>
      <c r="N25" s="219">
        <v>0</v>
      </c>
    </row>
    <row r="26" spans="1:14">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15492.2</v>
      </c>
      <c r="M26" s="45">
        <f t="shared" si="0"/>
        <v>119659.73574447029</v>
      </c>
      <c r="N26" s="219">
        <v>0</v>
      </c>
    </row>
    <row r="27" spans="1:14">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15492.2</v>
      </c>
      <c r="M27" s="45">
        <f t="shared" si="0"/>
        <v>120999.05065935971</v>
      </c>
      <c r="N27" s="219">
        <v>0</v>
      </c>
    </row>
    <row r="28" spans="1:14">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15492.2</v>
      </c>
      <c r="M28" s="45">
        <f t="shared" si="0"/>
        <v>122365.15187254691</v>
      </c>
      <c r="N28" s="219">
        <v>0</v>
      </c>
    </row>
    <row r="29" spans="1:14">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15492.2</v>
      </c>
      <c r="M29" s="45">
        <f t="shared" si="0"/>
        <v>123758.57510999785</v>
      </c>
      <c r="N29" s="219">
        <v>0</v>
      </c>
    </row>
    <row r="30" spans="1:14">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15492.2</v>
      </c>
      <c r="M30" s="45">
        <f t="shared" si="0"/>
        <v>125179.86681219781</v>
      </c>
      <c r="N30" s="219">
        <v>0</v>
      </c>
    </row>
    <row r="31" spans="1:14">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15492.2</v>
      </c>
      <c r="M31" s="45">
        <f t="shared" si="0"/>
        <v>126629.58434844177</v>
      </c>
      <c r="N31" s="219">
        <v>0</v>
      </c>
    </row>
    <row r="32" spans="1:14">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15492.2</v>
      </c>
      <c r="M32" s="45">
        <f t="shared" si="0"/>
        <v>128108.2962354106</v>
      </c>
      <c r="N32" s="219">
        <v>0</v>
      </c>
    </row>
    <row r="33" spans="1:24">
      <c r="A33" s="119">
        <f t="shared" si="4"/>
        <v>2041</v>
      </c>
      <c r="B33" s="119">
        <f t="shared" si="4"/>
        <v>22</v>
      </c>
      <c r="C33" s="119">
        <f t="shared" si="4"/>
        <v>22</v>
      </c>
      <c r="D33" s="338">
        <f t="shared" si="3"/>
        <v>38428.499495443095</v>
      </c>
      <c r="E33" s="339">
        <f t="shared" si="2"/>
        <v>38494.092864675724</v>
      </c>
      <c r="F33" s="219">
        <v>0</v>
      </c>
      <c r="G33" s="219">
        <v>0</v>
      </c>
      <c r="H33" s="219">
        <v>10608</v>
      </c>
      <c r="I33" s="190">
        <v>7380</v>
      </c>
      <c r="J33" s="719">
        <v>11725.89</v>
      </c>
      <c r="K33" s="719">
        <v>7487.9</v>
      </c>
      <c r="L33" s="719">
        <v>15492.2</v>
      </c>
      <c r="M33" s="613">
        <f t="shared" si="0"/>
        <v>129616.5823601188</v>
      </c>
      <c r="N33" s="219">
        <v>0</v>
      </c>
    </row>
    <row r="34" spans="1:24">
      <c r="A34" s="119">
        <f t="shared" si="4"/>
        <v>2042</v>
      </c>
      <c r="B34" s="150">
        <f t="shared" si="4"/>
        <v>23</v>
      </c>
      <c r="C34" s="119">
        <f t="shared" si="4"/>
        <v>23</v>
      </c>
      <c r="D34" s="338">
        <f t="shared" si="3"/>
        <v>39197.06948535196</v>
      </c>
      <c r="E34" s="339">
        <v>0</v>
      </c>
      <c r="F34" s="219">
        <v>0</v>
      </c>
      <c r="G34" s="219">
        <v>0</v>
      </c>
      <c r="H34" s="338">
        <v>10608</v>
      </c>
      <c r="I34" s="339">
        <v>3690</v>
      </c>
      <c r="J34" s="719">
        <v>11725.89</v>
      </c>
      <c r="K34" s="719">
        <v>7487.9</v>
      </c>
      <c r="L34" s="719">
        <v>15492.2</v>
      </c>
      <c r="M34" s="337">
        <f t="shared" si="0"/>
        <v>88201.059485351958</v>
      </c>
      <c r="N34" s="219">
        <v>0</v>
      </c>
    </row>
    <row r="35" spans="1:24">
      <c r="A35" s="119">
        <f t="shared" si="4"/>
        <v>2043</v>
      </c>
      <c r="B35" s="119">
        <f t="shared" si="4"/>
        <v>24</v>
      </c>
      <c r="C35" s="119">
        <f t="shared" si="4"/>
        <v>24</v>
      </c>
      <c r="D35" s="338">
        <f t="shared" si="3"/>
        <v>39981.010875059001</v>
      </c>
      <c r="E35" s="219">
        <v>0</v>
      </c>
      <c r="F35" s="219">
        <v>0</v>
      </c>
      <c r="G35" s="219">
        <v>0</v>
      </c>
      <c r="H35" s="219">
        <v>10608</v>
      </c>
      <c r="I35" s="219">
        <v>3690</v>
      </c>
      <c r="J35" s="719">
        <v>11725.89</v>
      </c>
      <c r="K35" s="719">
        <v>7487.9</v>
      </c>
      <c r="L35" s="719">
        <v>15492.2</v>
      </c>
      <c r="M35" s="45">
        <f t="shared" si="0"/>
        <v>88985.000875058991</v>
      </c>
      <c r="N35" s="219">
        <v>0</v>
      </c>
    </row>
    <row r="36" spans="1:24">
      <c r="A36" s="119">
        <f t="shared" si="4"/>
        <v>2044</v>
      </c>
      <c r="B36" s="119">
        <f t="shared" si="4"/>
        <v>25</v>
      </c>
      <c r="C36" s="119">
        <f t="shared" si="4"/>
        <v>25</v>
      </c>
      <c r="D36" s="338">
        <f t="shared" si="3"/>
        <v>40780.631092560179</v>
      </c>
      <c r="E36" s="219">
        <v>0</v>
      </c>
      <c r="F36" s="219">
        <v>0</v>
      </c>
      <c r="G36" s="219">
        <v>0</v>
      </c>
      <c r="H36" s="219">
        <v>10608</v>
      </c>
      <c r="I36" s="219">
        <v>3690</v>
      </c>
      <c r="J36" s="719">
        <v>11725.89</v>
      </c>
      <c r="K36" s="719">
        <v>7487.9</v>
      </c>
      <c r="L36" s="719">
        <v>15492.2</v>
      </c>
      <c r="M36" s="45">
        <f t="shared" si="0"/>
        <v>89784.621092560163</v>
      </c>
      <c r="N36" s="219">
        <v>0</v>
      </c>
    </row>
    <row r="37" spans="1:24">
      <c r="A37" s="119">
        <f t="shared" si="4"/>
        <v>2045</v>
      </c>
      <c r="B37" s="119">
        <f t="shared" si="4"/>
        <v>26</v>
      </c>
      <c r="C37" s="119">
        <f t="shared" si="4"/>
        <v>26</v>
      </c>
      <c r="D37" s="338">
        <f t="shared" si="3"/>
        <v>41596.243714411386</v>
      </c>
      <c r="E37" s="219">
        <v>0</v>
      </c>
      <c r="F37" s="219">
        <v>0</v>
      </c>
      <c r="G37" s="219">
        <v>0</v>
      </c>
      <c r="H37" s="219">
        <v>10608</v>
      </c>
      <c r="I37" s="219">
        <v>3690</v>
      </c>
      <c r="J37" s="719">
        <v>11725.89</v>
      </c>
      <c r="K37" s="719">
        <v>7487.9</v>
      </c>
      <c r="L37" s="719">
        <v>15492.2</v>
      </c>
      <c r="M37" s="45">
        <f t="shared" si="0"/>
        <v>90600.23371441137</v>
      </c>
      <c r="N37" s="219">
        <v>0</v>
      </c>
    </row>
    <row r="38" spans="1:24">
      <c r="A38" s="137">
        <f t="shared" si="4"/>
        <v>2046</v>
      </c>
      <c r="B38" s="137">
        <f t="shared" si="4"/>
        <v>27</v>
      </c>
      <c r="C38" s="137">
        <f t="shared" si="4"/>
        <v>27</v>
      </c>
      <c r="D38" s="338">
        <f t="shared" si="3"/>
        <v>42428.168588699613</v>
      </c>
      <c r="E38" s="219">
        <v>0</v>
      </c>
      <c r="F38" s="219">
        <v>0</v>
      </c>
      <c r="G38" s="219">
        <v>0</v>
      </c>
      <c r="H38" s="219">
        <v>10608</v>
      </c>
      <c r="I38" s="219">
        <v>3690</v>
      </c>
      <c r="J38" s="719">
        <v>11725.89</v>
      </c>
      <c r="K38" s="719">
        <v>7487.9</v>
      </c>
      <c r="L38" s="719">
        <v>15492.2</v>
      </c>
      <c r="M38" s="45">
        <f t="shared" si="0"/>
        <v>91432.158588699604</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59996337778862885"/>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86" t="s">
        <v>605</v>
      </c>
      <c r="J1" s="1986"/>
      <c r="K1" s="1986"/>
      <c r="L1" s="1986"/>
      <c r="M1" s="686">
        <f>'Egan Asset Summary'!O3</f>
        <v>0</v>
      </c>
      <c r="N1" s="211"/>
      <c r="R1" s="89"/>
    </row>
    <row r="2" spans="1:24" ht="20.3">
      <c r="A2" s="211"/>
      <c r="B2" s="209"/>
      <c r="C2" s="710"/>
      <c r="D2" s="595"/>
      <c r="E2" s="1984" t="s">
        <v>628</v>
      </c>
      <c r="F2" s="1984"/>
      <c r="G2" s="1984"/>
      <c r="H2" s="1984"/>
      <c r="I2" s="1984"/>
      <c r="J2" s="1984"/>
      <c r="K2" s="1984"/>
      <c r="L2" s="717"/>
      <c r="M2" s="593"/>
      <c r="N2" s="211"/>
    </row>
    <row r="3" spans="1:24" ht="24.05" customHeight="1">
      <c r="A3" s="211"/>
      <c r="B3" s="209"/>
      <c r="C3" s="1981" t="s">
        <v>588</v>
      </c>
      <c r="D3" s="1981"/>
      <c r="E3" s="1981"/>
      <c r="F3" s="1981"/>
      <c r="G3" s="1981"/>
      <c r="H3" s="1981"/>
      <c r="I3" s="1981"/>
      <c r="J3" s="1981"/>
      <c r="K3" s="1981"/>
      <c r="L3" s="1981"/>
      <c r="M3" s="707">
        <v>168300</v>
      </c>
      <c r="N3" s="211"/>
    </row>
    <row r="4" spans="1:24" ht="17.7">
      <c r="A4" s="211"/>
      <c r="B4" s="209"/>
      <c r="C4" s="1604" t="s">
        <v>607</v>
      </c>
      <c r="D4" s="1988"/>
      <c r="E4" s="1988"/>
      <c r="F4" s="1988"/>
      <c r="G4" s="1988"/>
      <c r="H4" s="1988"/>
      <c r="I4" s="1988"/>
      <c r="J4" s="1988"/>
      <c r="K4" s="1988"/>
      <c r="L4" s="1988"/>
      <c r="M4" s="596"/>
      <c r="N4" s="211"/>
    </row>
    <row r="5" spans="1:24" ht="15.05">
      <c r="A5" s="211"/>
      <c r="B5" s="209"/>
      <c r="C5" s="599"/>
      <c r="D5" s="1973"/>
      <c r="E5" s="1973"/>
      <c r="F5" s="1973"/>
      <c r="G5" s="1973"/>
      <c r="H5" s="1973"/>
      <c r="I5" s="1973"/>
      <c r="J5" s="1973"/>
      <c r="K5" s="1973"/>
      <c r="L5" s="687">
        <f>'Egan Asset Summary'!L4</f>
        <v>0</v>
      </c>
      <c r="M5" s="689">
        <f>'Egan Asset Summary'!O4</f>
        <v>0</v>
      </c>
      <c r="N5" s="211"/>
    </row>
    <row r="6" spans="1:24" ht="15.05">
      <c r="A6" s="211"/>
      <c r="B6" s="209"/>
      <c r="C6" s="599"/>
      <c r="D6" s="1974"/>
      <c r="E6" s="1974"/>
      <c r="F6" s="1974"/>
      <c r="G6" s="1974"/>
      <c r="H6" s="1974"/>
      <c r="I6" s="1974"/>
      <c r="J6" s="1974"/>
      <c r="K6" s="1974"/>
      <c r="L6" s="688">
        <f>'Egan Asset Summary'!M5</f>
        <v>0</v>
      </c>
      <c r="M6" s="690">
        <f>'Egan Asset Summary'!O5</f>
        <v>0</v>
      </c>
      <c r="N6" s="211"/>
    </row>
    <row r="7" spans="1:24">
      <c r="A7" s="600"/>
      <c r="B7" s="209"/>
      <c r="C7" s="599"/>
      <c r="D7" s="1975"/>
      <c r="E7" s="1976"/>
      <c r="F7" s="1976"/>
      <c r="G7" s="1976"/>
      <c r="H7" s="1976"/>
      <c r="I7" s="1976"/>
      <c r="J7" s="1976"/>
      <c r="K7" s="1976"/>
      <c r="M7" s="597"/>
      <c r="N7" s="211"/>
    </row>
    <row r="8" spans="1:24"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613</v>
      </c>
      <c r="M8" s="149"/>
      <c r="N8" s="36" t="s">
        <v>614</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2" t="s">
        <v>34</v>
      </c>
      <c r="B10" s="1532"/>
      <c r="C10" s="1977"/>
      <c r="D10" s="668" t="s">
        <v>615</v>
      </c>
      <c r="E10" s="668" t="s">
        <v>616</v>
      </c>
      <c r="F10" s="299" t="s">
        <v>617</v>
      </c>
      <c r="G10" s="299" t="s">
        <v>618</v>
      </c>
      <c r="H10" s="343" t="s">
        <v>627</v>
      </c>
      <c r="I10" s="343" t="s">
        <v>620</v>
      </c>
      <c r="J10" s="299" t="s">
        <v>621</v>
      </c>
      <c r="K10" s="299" t="s">
        <v>622</v>
      </c>
      <c r="L10" s="299" t="s">
        <v>623</v>
      </c>
      <c r="M10" s="691" t="s">
        <v>624</v>
      </c>
      <c r="N10" s="299" t="s">
        <v>625</v>
      </c>
    </row>
    <row r="11" spans="1:24">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f t="shared" si="1"/>
        <v>2</v>
      </c>
      <c r="C13" s="119">
        <f t="shared" si="1"/>
        <v>2</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45">
        <f t="shared" si="0"/>
        <v>128188</v>
      </c>
      <c r="N14" s="219">
        <v>0</v>
      </c>
    </row>
    <row r="15" spans="1:24">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45">
        <f t="shared" si="0"/>
        <v>119857.89</v>
      </c>
      <c r="N15" s="719">
        <v>17588.84</v>
      </c>
    </row>
    <row r="16" spans="1:24">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45">
        <f t="shared" si="0"/>
        <v>120396.93000000001</v>
      </c>
      <c r="N16" s="219">
        <v>0</v>
      </c>
    </row>
    <row r="17" spans="1:14">
      <c r="A17" s="155">
        <f t="shared" si="1"/>
        <v>2025</v>
      </c>
      <c r="B17" s="119">
        <f t="shared" si="1"/>
        <v>6</v>
      </c>
      <c r="C17" s="119">
        <f t="shared" si="1"/>
        <v>6</v>
      </c>
      <c r="D17" s="219">
        <v>0</v>
      </c>
      <c r="E17" s="339">
        <f t="shared" ref="E17:E33" si="2">E16*1.02</f>
        <v>28040.860800000002</v>
      </c>
      <c r="F17" s="219">
        <v>73800</v>
      </c>
      <c r="G17" s="219">
        <v>0</v>
      </c>
      <c r="H17" s="219">
        <v>0</v>
      </c>
      <c r="I17" s="219">
        <v>7380</v>
      </c>
      <c r="J17" s="719">
        <v>11725.89</v>
      </c>
      <c r="K17" s="219">
        <v>0</v>
      </c>
      <c r="L17" s="219">
        <v>0</v>
      </c>
      <c r="M17" s="45">
        <f t="shared" si="0"/>
        <v>120946.75079999999</v>
      </c>
      <c r="N17" s="219">
        <v>0</v>
      </c>
    </row>
    <row r="18" spans="1:14">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45">
        <f t="shared" si="0"/>
        <v>103529.568016</v>
      </c>
      <c r="N18" s="219">
        <v>0</v>
      </c>
    </row>
    <row r="19" spans="1:14">
      <c r="A19" s="119">
        <f t="shared" si="1"/>
        <v>2027</v>
      </c>
      <c r="B19" s="119">
        <f t="shared" si="1"/>
        <v>8</v>
      </c>
      <c r="C19" s="119">
        <f t="shared" si="1"/>
        <v>8</v>
      </c>
      <c r="D19" s="338">
        <v>29124</v>
      </c>
      <c r="E19" s="339">
        <f t="shared" si="2"/>
        <v>29173.711576320002</v>
      </c>
      <c r="F19" s="219">
        <v>0</v>
      </c>
      <c r="G19" s="219">
        <v>0</v>
      </c>
      <c r="H19" s="219">
        <v>10608</v>
      </c>
      <c r="I19" s="219">
        <v>7380</v>
      </c>
      <c r="J19" s="719">
        <v>11725.89</v>
      </c>
      <c r="K19" s="719">
        <v>7487.9</v>
      </c>
      <c r="L19" s="719">
        <v>15492.2</v>
      </c>
      <c r="M19" s="708">
        <f t="shared" si="0"/>
        <v>110991.70157631999</v>
      </c>
      <c r="N19" s="719">
        <v>30726.2</v>
      </c>
    </row>
    <row r="20" spans="1:14">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15492.2</v>
      </c>
      <c r="M20" s="45">
        <f t="shared" si="0"/>
        <v>112157.6558078464</v>
      </c>
      <c r="N20" s="219">
        <v>0</v>
      </c>
    </row>
    <row r="21" spans="1:14">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15492.2</v>
      </c>
      <c r="M21" s="45">
        <f t="shared" si="0"/>
        <v>113346.92912400332</v>
      </c>
      <c r="N21" s="219">
        <v>0</v>
      </c>
    </row>
    <row r="22" spans="1:14">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15492.2</v>
      </c>
      <c r="M22" s="45">
        <f t="shared" si="0"/>
        <v>114559.98790648339</v>
      </c>
      <c r="N22" s="219">
        <v>0</v>
      </c>
    </row>
    <row r="23" spans="1:14">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15492.2</v>
      </c>
      <c r="M23" s="45">
        <f t="shared" si="0"/>
        <v>115797.30786461306</v>
      </c>
      <c r="N23" s="219">
        <v>0</v>
      </c>
    </row>
    <row r="24" spans="1:14">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15492.2</v>
      </c>
      <c r="M24" s="45">
        <f t="shared" si="0"/>
        <v>117059.37422190532</v>
      </c>
      <c r="N24" s="219">
        <v>0</v>
      </c>
    </row>
    <row r="25" spans="1:14">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15492.2</v>
      </c>
      <c r="M25" s="45">
        <f t="shared" si="0"/>
        <v>118346.68190634344</v>
      </c>
      <c r="N25" s="219">
        <v>0</v>
      </c>
    </row>
    <row r="26" spans="1:14">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15492.2</v>
      </c>
      <c r="M26" s="45">
        <f t="shared" si="0"/>
        <v>119659.73574447029</v>
      </c>
      <c r="N26" s="219">
        <v>0</v>
      </c>
    </row>
    <row r="27" spans="1:14">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15492.2</v>
      </c>
      <c r="M27" s="45">
        <f t="shared" si="0"/>
        <v>120999.05065935971</v>
      </c>
      <c r="N27" s="219">
        <v>0</v>
      </c>
    </row>
    <row r="28" spans="1:14">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15492.2</v>
      </c>
      <c r="M28" s="45">
        <f t="shared" si="0"/>
        <v>122365.15187254691</v>
      </c>
      <c r="N28" s="219">
        <v>0</v>
      </c>
    </row>
    <row r="29" spans="1:14">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15492.2</v>
      </c>
      <c r="M29" s="45">
        <f t="shared" si="0"/>
        <v>123758.57510999785</v>
      </c>
      <c r="N29" s="219">
        <v>0</v>
      </c>
    </row>
    <row r="30" spans="1:14">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15492.2</v>
      </c>
      <c r="M30" s="45">
        <f t="shared" si="0"/>
        <v>125179.86681219781</v>
      </c>
      <c r="N30" s="219">
        <v>0</v>
      </c>
    </row>
    <row r="31" spans="1:14">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15492.2</v>
      </c>
      <c r="M31" s="45">
        <f t="shared" si="0"/>
        <v>126629.58434844177</v>
      </c>
      <c r="N31" s="219">
        <v>0</v>
      </c>
    </row>
    <row r="32" spans="1:14">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15492.2</v>
      </c>
      <c r="M32" s="45">
        <f t="shared" si="0"/>
        <v>128108.2962354106</v>
      </c>
      <c r="N32" s="219">
        <v>0</v>
      </c>
    </row>
    <row r="33" spans="1:24">
      <c r="A33" s="119">
        <f t="shared" si="4"/>
        <v>2041</v>
      </c>
      <c r="B33" s="119">
        <f t="shared" si="4"/>
        <v>22</v>
      </c>
      <c r="C33" s="119">
        <f t="shared" si="4"/>
        <v>22</v>
      </c>
      <c r="D33" s="338">
        <f t="shared" si="3"/>
        <v>38428.499495443095</v>
      </c>
      <c r="E33" s="339">
        <f t="shared" si="2"/>
        <v>38494.092864675724</v>
      </c>
      <c r="F33" s="219">
        <v>0</v>
      </c>
      <c r="G33" s="219">
        <v>0</v>
      </c>
      <c r="H33" s="219">
        <v>10608</v>
      </c>
      <c r="I33" s="190">
        <v>7380</v>
      </c>
      <c r="J33" s="719">
        <v>11725.89</v>
      </c>
      <c r="K33" s="719">
        <v>7487.9</v>
      </c>
      <c r="L33" s="719">
        <v>15492.2</v>
      </c>
      <c r="M33" s="613">
        <f t="shared" si="0"/>
        <v>129616.5823601188</v>
      </c>
      <c r="N33" s="219">
        <v>0</v>
      </c>
    </row>
    <row r="34" spans="1:24">
      <c r="A34" s="119">
        <f t="shared" si="4"/>
        <v>2042</v>
      </c>
      <c r="B34" s="119">
        <f t="shared" si="4"/>
        <v>23</v>
      </c>
      <c r="C34" s="341">
        <f t="shared" si="4"/>
        <v>23</v>
      </c>
      <c r="D34" s="338">
        <f t="shared" si="3"/>
        <v>39197.06948535196</v>
      </c>
      <c r="E34" s="339">
        <v>0</v>
      </c>
      <c r="F34" s="219">
        <v>0</v>
      </c>
      <c r="G34" s="219">
        <v>0</v>
      </c>
      <c r="H34" s="338">
        <v>10608</v>
      </c>
      <c r="I34" s="339">
        <v>3690</v>
      </c>
      <c r="J34" s="719">
        <v>11725.89</v>
      </c>
      <c r="K34" s="719">
        <v>7487.9</v>
      </c>
      <c r="L34" s="719">
        <v>15492.2</v>
      </c>
      <c r="M34" s="340">
        <f t="shared" si="0"/>
        <v>88201.059485351958</v>
      </c>
      <c r="N34" s="219">
        <v>0</v>
      </c>
    </row>
    <row r="35" spans="1:24">
      <c r="A35" s="119">
        <f t="shared" si="4"/>
        <v>2043</v>
      </c>
      <c r="B35" s="119">
        <f t="shared" si="4"/>
        <v>24</v>
      </c>
      <c r="C35" s="119">
        <f t="shared" si="4"/>
        <v>24</v>
      </c>
      <c r="D35" s="338">
        <f t="shared" si="3"/>
        <v>39981.010875059001</v>
      </c>
      <c r="E35" s="219">
        <v>0</v>
      </c>
      <c r="F35" s="219">
        <v>0</v>
      </c>
      <c r="G35" s="219">
        <v>0</v>
      </c>
      <c r="H35" s="219">
        <v>10608</v>
      </c>
      <c r="I35" s="219">
        <v>3690</v>
      </c>
      <c r="J35" s="719">
        <v>11725.89</v>
      </c>
      <c r="K35" s="719">
        <v>7487.9</v>
      </c>
      <c r="L35" s="719">
        <v>15492.2</v>
      </c>
      <c r="M35" s="45">
        <f t="shared" si="0"/>
        <v>88985.000875058991</v>
      </c>
      <c r="N35" s="219">
        <v>0</v>
      </c>
    </row>
    <row r="36" spans="1:24">
      <c r="A36" s="119">
        <f t="shared" si="4"/>
        <v>2044</v>
      </c>
      <c r="B36" s="119">
        <f t="shared" si="4"/>
        <v>25</v>
      </c>
      <c r="C36" s="119">
        <f t="shared" si="4"/>
        <v>25</v>
      </c>
      <c r="D36" s="338">
        <f t="shared" si="3"/>
        <v>40780.631092560179</v>
      </c>
      <c r="E36" s="219">
        <v>0</v>
      </c>
      <c r="F36" s="219">
        <v>0</v>
      </c>
      <c r="G36" s="219">
        <v>0</v>
      </c>
      <c r="H36" s="219">
        <v>10608</v>
      </c>
      <c r="I36" s="219">
        <v>3690</v>
      </c>
      <c r="J36" s="719">
        <v>11725.89</v>
      </c>
      <c r="K36" s="719">
        <v>7487.9</v>
      </c>
      <c r="L36" s="719">
        <v>15492.2</v>
      </c>
      <c r="M36" s="45">
        <f t="shared" si="0"/>
        <v>89784.621092560163</v>
      </c>
      <c r="N36" s="219">
        <v>0</v>
      </c>
    </row>
    <row r="37" spans="1:24">
      <c r="A37" s="119">
        <f t="shared" si="4"/>
        <v>2045</v>
      </c>
      <c r="B37" s="119">
        <f t="shared" si="4"/>
        <v>26</v>
      </c>
      <c r="C37" s="119">
        <f t="shared" si="4"/>
        <v>26</v>
      </c>
      <c r="D37" s="338">
        <f t="shared" si="3"/>
        <v>41596.243714411386</v>
      </c>
      <c r="E37" s="219">
        <v>0</v>
      </c>
      <c r="F37" s="219">
        <v>0</v>
      </c>
      <c r="G37" s="219">
        <v>0</v>
      </c>
      <c r="H37" s="219">
        <v>10608</v>
      </c>
      <c r="I37" s="219">
        <v>3690</v>
      </c>
      <c r="J37" s="719">
        <v>11725.89</v>
      </c>
      <c r="K37" s="719">
        <v>7487.9</v>
      </c>
      <c r="L37" s="719">
        <v>15492.2</v>
      </c>
      <c r="M37" s="45">
        <f t="shared" si="0"/>
        <v>90600.23371441137</v>
      </c>
      <c r="N37" s="219">
        <v>0</v>
      </c>
    </row>
    <row r="38" spans="1:24">
      <c r="A38" s="137">
        <f t="shared" si="4"/>
        <v>2046</v>
      </c>
      <c r="B38" s="137">
        <f t="shared" si="4"/>
        <v>27</v>
      </c>
      <c r="C38" s="137">
        <f t="shared" si="4"/>
        <v>27</v>
      </c>
      <c r="D38" s="338">
        <f t="shared" si="3"/>
        <v>42428.168588699613</v>
      </c>
      <c r="E38" s="219">
        <v>0</v>
      </c>
      <c r="F38" s="219">
        <v>0</v>
      </c>
      <c r="G38" s="219">
        <v>0</v>
      </c>
      <c r="H38" s="219">
        <v>10608</v>
      </c>
      <c r="I38" s="219">
        <v>3690</v>
      </c>
      <c r="J38" s="719">
        <v>11725.89</v>
      </c>
      <c r="K38" s="719">
        <v>7487.9</v>
      </c>
      <c r="L38" s="719">
        <v>15492.2</v>
      </c>
      <c r="M38" s="45">
        <f t="shared" si="0"/>
        <v>91432.158588699604</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98" t="s">
        <v>605</v>
      </c>
      <c r="J1" s="1598"/>
      <c r="K1" s="1598"/>
      <c r="L1" s="1598"/>
      <c r="M1" s="1598"/>
      <c r="N1" s="686">
        <f>'Egan Asset Summary'!O3</f>
        <v>0</v>
      </c>
      <c r="O1" s="211"/>
      <c r="S1" s="89"/>
    </row>
    <row r="2" spans="1:25" ht="20.3">
      <c r="A2" s="211"/>
      <c r="B2" s="209"/>
      <c r="C2" s="710"/>
      <c r="D2" s="595"/>
      <c r="E2" s="1987" t="s">
        <v>606</v>
      </c>
      <c r="F2" s="1987"/>
      <c r="G2" s="1987"/>
      <c r="H2" s="1987"/>
      <c r="I2" s="1987"/>
      <c r="J2" s="1987"/>
      <c r="K2" s="1987"/>
      <c r="L2" s="1989"/>
      <c r="M2" s="1989"/>
      <c r="N2" s="593"/>
      <c r="O2" s="211"/>
    </row>
    <row r="3" spans="1:25" ht="24.05" customHeight="1">
      <c r="A3" s="211"/>
      <c r="B3" s="209"/>
      <c r="C3" s="1981" t="s">
        <v>588</v>
      </c>
      <c r="D3" s="1981"/>
      <c r="E3" s="1981"/>
      <c r="F3" s="1981"/>
      <c r="G3" s="1981"/>
      <c r="H3" s="1981"/>
      <c r="I3" s="1981"/>
      <c r="J3" s="1981"/>
      <c r="K3" s="1981"/>
      <c r="L3" s="1981"/>
      <c r="M3" s="1981"/>
      <c r="N3" s="707">
        <v>168300</v>
      </c>
      <c r="O3" s="211"/>
    </row>
    <row r="4" spans="1:25" ht="17.7">
      <c r="A4" s="211"/>
      <c r="B4" s="209"/>
      <c r="C4" s="1604" t="s">
        <v>607</v>
      </c>
      <c r="D4" s="1988"/>
      <c r="E4" s="1988"/>
      <c r="F4" s="1988"/>
      <c r="G4" s="1988"/>
      <c r="H4" s="1988"/>
      <c r="I4" s="1988"/>
      <c r="J4" s="1988"/>
      <c r="K4" s="1988"/>
      <c r="L4" s="1988"/>
      <c r="M4" s="1988"/>
      <c r="N4" s="596"/>
      <c r="O4" s="211"/>
    </row>
    <row r="5" spans="1:25" ht="15.05">
      <c r="A5" s="211"/>
      <c r="B5" s="209"/>
      <c r="C5" s="599"/>
      <c r="D5" s="1973"/>
      <c r="E5" s="1973"/>
      <c r="F5" s="1973"/>
      <c r="G5" s="1973"/>
      <c r="H5" s="1973"/>
      <c r="I5" s="1973"/>
      <c r="J5" s="1973"/>
      <c r="K5" s="1973"/>
      <c r="L5" s="1973"/>
      <c r="M5" s="687">
        <f>'Egan Asset Summary'!L4</f>
        <v>0</v>
      </c>
      <c r="N5" s="689">
        <f>'Egan Asset Summary'!O4</f>
        <v>0</v>
      </c>
      <c r="O5" s="211"/>
    </row>
    <row r="6" spans="1:25" ht="15.05">
      <c r="A6" s="211"/>
      <c r="B6" s="209"/>
      <c r="C6" s="599"/>
      <c r="D6" s="1974"/>
      <c r="E6" s="1974"/>
      <c r="F6" s="1974"/>
      <c r="G6" s="1974"/>
      <c r="H6" s="1974"/>
      <c r="I6" s="1974"/>
      <c r="J6" s="1974"/>
      <c r="K6" s="1974"/>
      <c r="L6" s="1974"/>
      <c r="M6" s="688">
        <f>'Egan Asset Summary'!M5</f>
        <v>0</v>
      </c>
      <c r="N6" s="690">
        <f>'Egan Asset Summary'!O5</f>
        <v>0</v>
      </c>
      <c r="O6" s="211"/>
    </row>
    <row r="7" spans="1:25">
      <c r="A7" s="600"/>
      <c r="B7" s="209"/>
      <c r="C7" s="599"/>
      <c r="D7" s="1975"/>
      <c r="E7" s="1976"/>
      <c r="F7" s="1976"/>
      <c r="G7" s="1976"/>
      <c r="H7" s="1976"/>
      <c r="I7" s="1976"/>
      <c r="J7" s="1976"/>
      <c r="K7" s="1976"/>
      <c r="L7" s="1976"/>
      <c r="N7" s="597"/>
      <c r="O7" s="211"/>
    </row>
    <row r="8" spans="1:25"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629</v>
      </c>
      <c r="M8" s="36"/>
      <c r="N8" s="149"/>
      <c r="O8" s="36" t="s">
        <v>614</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2" t="s">
        <v>34</v>
      </c>
      <c r="B10" s="1532"/>
      <c r="C10" s="1977"/>
      <c r="D10" s="668" t="s">
        <v>615</v>
      </c>
      <c r="E10" s="668" t="s">
        <v>616</v>
      </c>
      <c r="F10" s="299" t="s">
        <v>617</v>
      </c>
      <c r="G10" s="299" t="s">
        <v>618</v>
      </c>
      <c r="H10" s="343" t="s">
        <v>619</v>
      </c>
      <c r="I10" s="343" t="s">
        <v>620</v>
      </c>
      <c r="J10" s="299" t="s">
        <v>621</v>
      </c>
      <c r="K10" s="299" t="s">
        <v>622</v>
      </c>
      <c r="L10" s="299" t="s">
        <v>630</v>
      </c>
      <c r="M10" s="217"/>
      <c r="N10" s="691" t="s">
        <v>624</v>
      </c>
      <c r="O10" s="299" t="s">
        <v>625</v>
      </c>
    </row>
    <row r="11" spans="1:25">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f t="shared" si="1"/>
        <v>2</v>
      </c>
      <c r="C13" s="119">
        <f t="shared" si="1"/>
        <v>2</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219">
        <v>0</v>
      </c>
      <c r="N14" s="45">
        <f t="shared" si="0"/>
        <v>128188</v>
      </c>
      <c r="O14" s="219">
        <v>0</v>
      </c>
    </row>
    <row r="15" spans="1:25">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219">
        <v>0</v>
      </c>
      <c r="N15" s="720">
        <f t="shared" si="0"/>
        <v>119857.89</v>
      </c>
      <c r="O15" s="719">
        <v>17588.830000000002</v>
      </c>
    </row>
    <row r="16" spans="1:25">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219">
        <v>0</v>
      </c>
      <c r="N16" s="45">
        <f t="shared" si="0"/>
        <v>120396.93000000001</v>
      </c>
      <c r="O16" s="219">
        <v>0</v>
      </c>
    </row>
    <row r="17" spans="1:15">
      <c r="A17" s="155">
        <f t="shared" si="1"/>
        <v>2025</v>
      </c>
      <c r="B17" s="119">
        <f t="shared" si="1"/>
        <v>6</v>
      </c>
      <c r="C17" s="119">
        <f t="shared" si="1"/>
        <v>6</v>
      </c>
      <c r="D17" s="219">
        <v>0</v>
      </c>
      <c r="E17" s="339">
        <f t="shared" ref="E17:E38" si="2">E16*1.02</f>
        <v>28040.860800000002</v>
      </c>
      <c r="F17" s="219">
        <v>73800</v>
      </c>
      <c r="G17" s="219">
        <v>0</v>
      </c>
      <c r="H17" s="219">
        <v>0</v>
      </c>
      <c r="I17" s="219">
        <v>7380</v>
      </c>
      <c r="J17" s="719">
        <v>11725.89</v>
      </c>
      <c r="K17" s="219">
        <v>0</v>
      </c>
      <c r="L17" s="219">
        <v>0</v>
      </c>
      <c r="M17" s="219">
        <v>0</v>
      </c>
      <c r="N17" s="45">
        <f>SUM(D17:M17)</f>
        <v>120946.75079999999</v>
      </c>
      <c r="O17" s="219">
        <v>0</v>
      </c>
    </row>
    <row r="18" spans="1:15">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219">
        <v>0</v>
      </c>
      <c r="N18" s="45">
        <f t="shared" si="0"/>
        <v>103529.568016</v>
      </c>
      <c r="O18" s="219">
        <v>0</v>
      </c>
    </row>
    <row r="19" spans="1:15">
      <c r="A19" s="119">
        <f t="shared" si="1"/>
        <v>2027</v>
      </c>
      <c r="B19" s="119">
        <f t="shared" si="1"/>
        <v>8</v>
      </c>
      <c r="C19" s="119">
        <f t="shared" si="1"/>
        <v>8</v>
      </c>
      <c r="D19" s="338">
        <v>29124</v>
      </c>
      <c r="E19" s="339">
        <f t="shared" si="2"/>
        <v>29173.711576320002</v>
      </c>
      <c r="F19" s="219">
        <v>0</v>
      </c>
      <c r="G19" s="219">
        <v>0</v>
      </c>
      <c r="H19" s="338">
        <v>10608</v>
      </c>
      <c r="I19" s="339">
        <v>7380</v>
      </c>
      <c r="J19" s="719">
        <v>11725.89</v>
      </c>
      <c r="K19" s="719">
        <v>7487.9</v>
      </c>
      <c r="L19" s="719">
        <v>22463.69</v>
      </c>
      <c r="M19" s="219">
        <v>0</v>
      </c>
      <c r="N19" s="613">
        <f t="shared" si="0"/>
        <v>117963.19157631999</v>
      </c>
      <c r="O19" s="719">
        <v>44927.39</v>
      </c>
    </row>
    <row r="20" spans="1:15">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22463.69</v>
      </c>
      <c r="M20" s="219">
        <v>0</v>
      </c>
      <c r="N20" s="45">
        <f t="shared" si="0"/>
        <v>119129.14580784641</v>
      </c>
      <c r="O20" s="219">
        <v>0</v>
      </c>
    </row>
    <row r="21" spans="1:15">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22463.69</v>
      </c>
      <c r="M21" s="219">
        <v>0</v>
      </c>
      <c r="N21" s="45">
        <f t="shared" si="0"/>
        <v>120318.41912400333</v>
      </c>
      <c r="O21" s="219">
        <v>0</v>
      </c>
    </row>
    <row r="22" spans="1:15">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22463.69</v>
      </c>
      <c r="M22" s="219">
        <v>0</v>
      </c>
      <c r="N22" s="45">
        <f t="shared" si="0"/>
        <v>121531.4779064834</v>
      </c>
      <c r="O22" s="219">
        <v>0</v>
      </c>
    </row>
    <row r="23" spans="1:15">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22463.69</v>
      </c>
      <c r="M23" s="219">
        <v>0</v>
      </c>
      <c r="N23" s="45">
        <f t="shared" si="0"/>
        <v>122768.79786461307</v>
      </c>
      <c r="O23" s="219">
        <v>0</v>
      </c>
    </row>
    <row r="24" spans="1:15">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22463.69</v>
      </c>
      <c r="M24" s="219">
        <v>0</v>
      </c>
      <c r="N24" s="45">
        <f t="shared" si="0"/>
        <v>124030.86422190533</v>
      </c>
      <c r="O24" s="219">
        <v>0</v>
      </c>
    </row>
    <row r="25" spans="1:15">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22463.69</v>
      </c>
      <c r="M25" s="219">
        <v>0</v>
      </c>
      <c r="N25" s="45">
        <f t="shared" si="0"/>
        <v>125318.17190634344</v>
      </c>
      <c r="O25" s="219">
        <v>0</v>
      </c>
    </row>
    <row r="26" spans="1:15">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22463.69</v>
      </c>
      <c r="M26" s="219">
        <v>0</v>
      </c>
      <c r="N26" s="45">
        <f t="shared" si="0"/>
        <v>126631.2257444703</v>
      </c>
      <c r="O26" s="219">
        <v>0</v>
      </c>
    </row>
    <row r="27" spans="1:15">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22463.69</v>
      </c>
      <c r="M27" s="219">
        <v>0</v>
      </c>
      <c r="N27" s="45">
        <f t="shared" si="0"/>
        <v>127970.54065935971</v>
      </c>
      <c r="O27" s="219">
        <v>0</v>
      </c>
    </row>
    <row r="28" spans="1:15">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22463.69</v>
      </c>
      <c r="M28" s="219">
        <v>0</v>
      </c>
      <c r="N28" s="45">
        <f t="shared" si="0"/>
        <v>129336.64187254691</v>
      </c>
      <c r="O28" s="219">
        <v>0</v>
      </c>
    </row>
    <row r="29" spans="1:15">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22463.69</v>
      </c>
      <c r="M29" s="219">
        <v>0</v>
      </c>
      <c r="N29" s="45">
        <f t="shared" si="0"/>
        <v>130730.06510999786</v>
      </c>
      <c r="O29" s="219">
        <v>0</v>
      </c>
    </row>
    <row r="30" spans="1:15">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22463.69</v>
      </c>
      <c r="M30" s="219">
        <v>0</v>
      </c>
      <c r="N30" s="45">
        <f t="shared" si="0"/>
        <v>132151.3568121978</v>
      </c>
      <c r="O30" s="219">
        <v>0</v>
      </c>
    </row>
    <row r="31" spans="1:15">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22463.69</v>
      </c>
      <c r="M31" s="219">
        <v>0</v>
      </c>
      <c r="N31" s="45">
        <f t="shared" si="0"/>
        <v>133601.07434844176</v>
      </c>
      <c r="O31" s="219">
        <v>0</v>
      </c>
    </row>
    <row r="32" spans="1:15">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22463.69</v>
      </c>
      <c r="M32" s="219">
        <v>0</v>
      </c>
      <c r="N32" s="45">
        <f t="shared" si="0"/>
        <v>135079.7862354106</v>
      </c>
      <c r="O32" s="219">
        <v>0</v>
      </c>
    </row>
    <row r="33" spans="1:25">
      <c r="A33" s="119">
        <f t="shared" si="4"/>
        <v>2041</v>
      </c>
      <c r="B33" s="119">
        <f t="shared" si="4"/>
        <v>22</v>
      </c>
      <c r="C33" s="119">
        <f t="shared" si="4"/>
        <v>22</v>
      </c>
      <c r="D33" s="338">
        <f t="shared" si="3"/>
        <v>38428.499495443095</v>
      </c>
      <c r="E33" s="339">
        <f t="shared" si="2"/>
        <v>38494.092864675724</v>
      </c>
      <c r="F33" s="219">
        <v>0</v>
      </c>
      <c r="G33" s="219">
        <v>0</v>
      </c>
      <c r="H33" s="219">
        <v>10608</v>
      </c>
      <c r="I33" s="219">
        <v>7380</v>
      </c>
      <c r="J33" s="719">
        <v>11725.89</v>
      </c>
      <c r="K33" s="719">
        <v>7487.9</v>
      </c>
      <c r="L33" s="719">
        <v>22463.69</v>
      </c>
      <c r="M33" s="219">
        <v>0</v>
      </c>
      <c r="N33" s="45">
        <f t="shared" si="0"/>
        <v>136588.07236011879</v>
      </c>
      <c r="O33" s="219">
        <v>0</v>
      </c>
    </row>
    <row r="34" spans="1:25">
      <c r="A34" s="119">
        <f t="shared" si="4"/>
        <v>2042</v>
      </c>
      <c r="B34" s="119">
        <f t="shared" si="4"/>
        <v>23</v>
      </c>
      <c r="C34" s="119">
        <f t="shared" si="4"/>
        <v>23</v>
      </c>
      <c r="D34" s="338">
        <f t="shared" si="3"/>
        <v>39197.06948535196</v>
      </c>
      <c r="E34" s="339">
        <f t="shared" si="2"/>
        <v>39263.974721969236</v>
      </c>
      <c r="F34" s="219">
        <v>0</v>
      </c>
      <c r="G34" s="219">
        <v>0</v>
      </c>
      <c r="H34" s="219">
        <v>10608</v>
      </c>
      <c r="I34" s="219">
        <v>7380</v>
      </c>
      <c r="J34" s="719">
        <v>11725.89</v>
      </c>
      <c r="K34" s="719">
        <v>7487.9</v>
      </c>
      <c r="L34" s="719">
        <v>22463.69</v>
      </c>
      <c r="M34" s="219">
        <v>0</v>
      </c>
      <c r="N34" s="45">
        <f t="shared" si="0"/>
        <v>138126.52420732117</v>
      </c>
      <c r="O34" s="219">
        <v>0</v>
      </c>
    </row>
    <row r="35" spans="1:25">
      <c r="A35" s="119">
        <f t="shared" si="4"/>
        <v>2043</v>
      </c>
      <c r="B35" s="119">
        <f t="shared" si="4"/>
        <v>24</v>
      </c>
      <c r="C35" s="119">
        <f t="shared" si="4"/>
        <v>24</v>
      </c>
      <c r="D35" s="338">
        <f t="shared" si="3"/>
        <v>39981.010875059001</v>
      </c>
      <c r="E35" s="339">
        <f t="shared" si="2"/>
        <v>40049.254216408619</v>
      </c>
      <c r="F35" s="219">
        <v>0</v>
      </c>
      <c r="G35" s="219">
        <v>0</v>
      </c>
      <c r="H35" s="219">
        <v>10608</v>
      </c>
      <c r="I35" s="219">
        <v>7380</v>
      </c>
      <c r="J35" s="719">
        <v>11725.89</v>
      </c>
      <c r="K35" s="719">
        <v>7487.9</v>
      </c>
      <c r="L35" s="719">
        <v>22463.69</v>
      </c>
      <c r="M35" s="219">
        <v>0</v>
      </c>
      <c r="N35" s="45">
        <f t="shared" si="0"/>
        <v>139695.7450914676</v>
      </c>
      <c r="O35" s="219">
        <v>0</v>
      </c>
    </row>
    <row r="36" spans="1:25">
      <c r="A36" s="119">
        <f t="shared" si="4"/>
        <v>2044</v>
      </c>
      <c r="B36" s="119">
        <f t="shared" si="4"/>
        <v>25</v>
      </c>
      <c r="C36" s="119">
        <f t="shared" si="4"/>
        <v>25</v>
      </c>
      <c r="D36" s="338">
        <f t="shared" si="3"/>
        <v>40780.631092560179</v>
      </c>
      <c r="E36" s="339">
        <f t="shared" si="2"/>
        <v>40850.239300736794</v>
      </c>
      <c r="F36" s="219">
        <v>0</v>
      </c>
      <c r="G36" s="219">
        <v>0</v>
      </c>
      <c r="H36" s="219">
        <v>10608</v>
      </c>
      <c r="I36" s="219">
        <v>7380</v>
      </c>
      <c r="J36" s="719">
        <v>11725.89</v>
      </c>
      <c r="K36" s="719">
        <v>7487.9</v>
      </c>
      <c r="L36" s="719">
        <v>22463.69</v>
      </c>
      <c r="M36" s="219">
        <v>0</v>
      </c>
      <c r="N36" s="45">
        <f t="shared" si="0"/>
        <v>141296.35039329695</v>
      </c>
      <c r="O36" s="219">
        <v>0</v>
      </c>
    </row>
    <row r="37" spans="1:25">
      <c r="A37" s="119">
        <f t="shared" si="4"/>
        <v>2045</v>
      </c>
      <c r="B37" s="119">
        <f t="shared" si="4"/>
        <v>26</v>
      </c>
      <c r="C37" s="119">
        <f t="shared" si="4"/>
        <v>26</v>
      </c>
      <c r="D37" s="338">
        <f t="shared" si="3"/>
        <v>41596.243714411386</v>
      </c>
      <c r="E37" s="339">
        <f t="shared" si="2"/>
        <v>41667.244086751532</v>
      </c>
      <c r="F37" s="219">
        <v>0</v>
      </c>
      <c r="G37" s="219">
        <v>0</v>
      </c>
      <c r="H37" s="219">
        <v>10608</v>
      </c>
      <c r="I37" s="219">
        <v>7380</v>
      </c>
      <c r="J37" s="719">
        <v>11725.89</v>
      </c>
      <c r="K37" s="719">
        <v>7487.9</v>
      </c>
      <c r="L37" s="719">
        <v>22463.69</v>
      </c>
      <c r="M37" s="219">
        <v>0</v>
      </c>
      <c r="N37" s="45">
        <f t="shared" si="0"/>
        <v>142928.96780116291</v>
      </c>
      <c r="O37" s="219">
        <v>0</v>
      </c>
    </row>
    <row r="38" spans="1:25">
      <c r="A38" s="137">
        <f t="shared" si="4"/>
        <v>2046</v>
      </c>
      <c r="B38" s="137">
        <f t="shared" si="4"/>
        <v>27</v>
      </c>
      <c r="C38" s="137">
        <f t="shared" si="4"/>
        <v>27</v>
      </c>
      <c r="D38" s="338">
        <f t="shared" si="3"/>
        <v>42428.168588699613</v>
      </c>
      <c r="E38" s="339">
        <f t="shared" si="2"/>
        <v>42500.588968486561</v>
      </c>
      <c r="F38" s="219">
        <v>0</v>
      </c>
      <c r="G38" s="219">
        <v>0</v>
      </c>
      <c r="H38" s="219">
        <v>10608</v>
      </c>
      <c r="I38" s="219">
        <v>7380</v>
      </c>
      <c r="J38" s="719">
        <v>11725.89</v>
      </c>
      <c r="K38" s="719">
        <v>7487.9</v>
      </c>
      <c r="L38" s="719">
        <v>22463.69</v>
      </c>
      <c r="M38" s="219">
        <v>0</v>
      </c>
      <c r="N38" s="45">
        <f t="shared" si="0"/>
        <v>144594.23755718616</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7"/>
  <sheetViews>
    <sheetView showGridLines="0" workbookViewId="0"/>
  </sheetViews>
  <sheetFormatPr defaultColWidth="9.125" defaultRowHeight="12.45"/>
  <cols>
    <col min="1" max="1" width="11.875" customWidth="1"/>
    <col min="2" max="2" width="14.25" customWidth="1"/>
    <col min="3" max="3" width="12.625" customWidth="1"/>
    <col min="4" max="4" width="19.75" customWidth="1"/>
    <col min="5" max="5" width="12.625" customWidth="1"/>
    <col min="6" max="6" width="19.75" customWidth="1"/>
    <col min="7" max="7" width="12.625" customWidth="1"/>
    <col min="8" max="8" width="19.75" customWidth="1"/>
    <col min="9" max="10" width="20" customWidth="1"/>
    <col min="11" max="11" width="18" customWidth="1"/>
    <col min="12" max="19" width="9.125" style="75"/>
    <col min="20" max="22" width="9.125" style="156"/>
  </cols>
  <sheetData>
    <row r="1" spans="1:14" ht="20.3">
      <c r="A1" s="388"/>
      <c r="B1" s="389"/>
      <c r="C1" s="389"/>
      <c r="D1" s="390" t="s">
        <v>109</v>
      </c>
      <c r="E1" s="389"/>
      <c r="F1" s="390" t="s">
        <v>110</v>
      </c>
      <c r="G1" s="389"/>
      <c r="H1" s="390" t="s">
        <v>111</v>
      </c>
      <c r="I1" s="391"/>
      <c r="J1" s="391"/>
      <c r="K1" s="392"/>
      <c r="L1" s="393"/>
      <c r="M1" s="393"/>
      <c r="N1" s="393"/>
    </row>
    <row r="2" spans="1:14" ht="17.7">
      <c r="A2" s="394"/>
      <c r="B2" s="712">
        <f>'Alt Cash Flow  Snapshot No Plan'!E10</f>
        <v>4166.67</v>
      </c>
      <c r="C2" s="395"/>
      <c r="D2" s="396">
        <f>B2*(12)</f>
        <v>50000.04</v>
      </c>
      <c r="E2" s="395"/>
      <c r="F2" s="396">
        <f>B2*(12)</f>
        <v>50000.04</v>
      </c>
      <c r="G2" s="395"/>
      <c r="H2" s="396">
        <f>B2*(12)</f>
        <v>50000.04</v>
      </c>
      <c r="I2" s="391"/>
      <c r="J2" s="391"/>
      <c r="K2" s="392"/>
    </row>
    <row r="3" spans="1:14" ht="15.05">
      <c r="A3" s="394"/>
      <c r="B3" s="395"/>
      <c r="C3" s="397" t="s">
        <v>112</v>
      </c>
      <c r="D3" s="398">
        <f>D2*1.02</f>
        <v>51000.040800000002</v>
      </c>
      <c r="E3" s="397" t="s">
        <v>112</v>
      </c>
      <c r="F3" s="398">
        <f>F2*1.03</f>
        <v>51500.0412</v>
      </c>
      <c r="G3" s="397" t="s">
        <v>112</v>
      </c>
      <c r="H3" s="398">
        <f>H2*1.04</f>
        <v>52000.041600000004</v>
      </c>
      <c r="I3" s="391"/>
      <c r="J3" s="391"/>
      <c r="K3" s="392"/>
    </row>
    <row r="4" spans="1:14" ht="15.05">
      <c r="A4" s="399"/>
      <c r="B4" s="400"/>
      <c r="C4" s="397" t="s">
        <v>113</v>
      </c>
      <c r="D4" s="398">
        <f t="shared" ref="D4:D25" si="0">D3*1.02</f>
        <v>52020.041616000002</v>
      </c>
      <c r="E4" s="397" t="s">
        <v>113</v>
      </c>
      <c r="F4" s="398">
        <f t="shared" ref="F4:F25" si="1">F3*1.03</f>
        <v>53045.042436000003</v>
      </c>
      <c r="G4" s="397" t="s">
        <v>113</v>
      </c>
      <c r="H4" s="398">
        <f t="shared" ref="H4:H25" si="2">H3*1.04</f>
        <v>54080.043264000007</v>
      </c>
      <c r="I4" s="391"/>
      <c r="J4" s="391"/>
      <c r="K4" s="392"/>
    </row>
    <row r="5" spans="1:14" ht="15.05">
      <c r="A5" s="401"/>
      <c r="B5" s="402"/>
      <c r="C5" s="397" t="s">
        <v>114</v>
      </c>
      <c r="D5" s="713">
        <f t="shared" si="0"/>
        <v>53060.442448320005</v>
      </c>
      <c r="E5" s="397" t="s">
        <v>114</v>
      </c>
      <c r="F5" s="713">
        <f t="shared" si="1"/>
        <v>54636.393709080003</v>
      </c>
      <c r="G5" s="397" t="s">
        <v>114</v>
      </c>
      <c r="H5" s="713">
        <f t="shared" si="2"/>
        <v>56243.244994560009</v>
      </c>
      <c r="I5" s="391"/>
      <c r="J5" s="391"/>
      <c r="K5" s="392"/>
    </row>
    <row r="6" spans="1:14" ht="15.05">
      <c r="A6" s="401"/>
      <c r="B6" s="402"/>
      <c r="C6" s="397" t="s">
        <v>115</v>
      </c>
      <c r="D6" s="398">
        <f t="shared" si="0"/>
        <v>54121.651297286407</v>
      </c>
      <c r="E6" s="397" t="s">
        <v>115</v>
      </c>
      <c r="F6" s="398">
        <f t="shared" si="1"/>
        <v>56275.485520352406</v>
      </c>
      <c r="G6" s="397" t="s">
        <v>115</v>
      </c>
      <c r="H6" s="398">
        <f t="shared" si="2"/>
        <v>58492.974794342408</v>
      </c>
      <c r="I6" s="391"/>
      <c r="J6" s="391"/>
      <c r="K6" s="392"/>
    </row>
    <row r="7" spans="1:14" ht="15.05">
      <c r="A7" s="401"/>
      <c r="B7" s="402"/>
      <c r="C7" s="397" t="s">
        <v>116</v>
      </c>
      <c r="D7" s="398">
        <f t="shared" si="0"/>
        <v>55204.084323232135</v>
      </c>
      <c r="E7" s="397" t="s">
        <v>116</v>
      </c>
      <c r="F7" s="398">
        <f t="shared" si="1"/>
        <v>57963.75008596298</v>
      </c>
      <c r="G7" s="397" t="s">
        <v>116</v>
      </c>
      <c r="H7" s="398">
        <f t="shared" si="2"/>
        <v>60832.693786116106</v>
      </c>
      <c r="I7" s="391"/>
      <c r="J7" s="391"/>
      <c r="K7" s="392"/>
    </row>
    <row r="8" spans="1:14" ht="15.05">
      <c r="A8" s="401"/>
      <c r="B8" s="402"/>
      <c r="C8" s="397" t="s">
        <v>117</v>
      </c>
      <c r="D8" s="713">
        <f t="shared" si="0"/>
        <v>56308.166009696775</v>
      </c>
      <c r="E8" s="397" t="s">
        <v>117</v>
      </c>
      <c r="F8" s="713">
        <f t="shared" si="1"/>
        <v>59702.662588541869</v>
      </c>
      <c r="G8" s="397" t="s">
        <v>117</v>
      </c>
      <c r="H8" s="713">
        <f t="shared" si="2"/>
        <v>63266.001537560755</v>
      </c>
      <c r="I8" s="391"/>
      <c r="J8" s="391"/>
      <c r="K8" s="392"/>
    </row>
    <row r="9" spans="1:14" ht="15.05">
      <c r="A9" s="401"/>
      <c r="B9" s="402"/>
      <c r="C9" s="397" t="s">
        <v>118</v>
      </c>
      <c r="D9" s="398">
        <f t="shared" si="0"/>
        <v>57434.329329890708</v>
      </c>
      <c r="E9" s="397" t="s">
        <v>118</v>
      </c>
      <c r="F9" s="398">
        <f t="shared" si="1"/>
        <v>61493.742466198128</v>
      </c>
      <c r="G9" s="397" t="s">
        <v>118</v>
      </c>
      <c r="H9" s="398">
        <f t="shared" si="2"/>
        <v>65796.641599063194</v>
      </c>
      <c r="I9" s="391"/>
      <c r="J9" s="391"/>
      <c r="K9" s="392"/>
    </row>
    <row r="10" spans="1:14" ht="15.05">
      <c r="A10" s="401"/>
      <c r="B10" s="402"/>
      <c r="C10" s="397" t="s">
        <v>119</v>
      </c>
      <c r="D10" s="398">
        <f t="shared" si="0"/>
        <v>58583.015916488526</v>
      </c>
      <c r="E10" s="397" t="s">
        <v>119</v>
      </c>
      <c r="F10" s="398">
        <f t="shared" si="1"/>
        <v>63338.554740184074</v>
      </c>
      <c r="G10" s="397" t="s">
        <v>119</v>
      </c>
      <c r="H10" s="398">
        <f t="shared" si="2"/>
        <v>68428.50726302572</v>
      </c>
      <c r="I10" s="391"/>
      <c r="J10" s="391"/>
      <c r="K10" s="392"/>
    </row>
    <row r="11" spans="1:14" ht="15.05">
      <c r="A11" s="401"/>
      <c r="B11" s="402"/>
      <c r="C11" s="397" t="s">
        <v>120</v>
      </c>
      <c r="D11" s="398">
        <f t="shared" si="0"/>
        <v>59754.676234818297</v>
      </c>
      <c r="E11" s="397" t="s">
        <v>120</v>
      </c>
      <c r="F11" s="398">
        <f t="shared" si="1"/>
        <v>65238.7113823896</v>
      </c>
      <c r="G11" s="397" t="s">
        <v>120</v>
      </c>
      <c r="H11" s="398">
        <f t="shared" si="2"/>
        <v>71165.647553546747</v>
      </c>
      <c r="I11" s="391"/>
      <c r="J11" s="391"/>
      <c r="K11" s="392"/>
    </row>
    <row r="12" spans="1:14" ht="15.05">
      <c r="A12" s="401"/>
      <c r="B12" s="402"/>
      <c r="C12" s="397" t="s">
        <v>121</v>
      </c>
      <c r="D12" s="398">
        <f t="shared" si="0"/>
        <v>60949.76975951466</v>
      </c>
      <c r="E12" s="397" t="s">
        <v>121</v>
      </c>
      <c r="F12" s="398">
        <f t="shared" si="1"/>
        <v>67195.872723861292</v>
      </c>
      <c r="G12" s="397" t="s">
        <v>121</v>
      </c>
      <c r="H12" s="398">
        <f t="shared" si="2"/>
        <v>74012.273455688613</v>
      </c>
      <c r="I12" s="391"/>
      <c r="J12" s="391"/>
      <c r="K12" s="392"/>
    </row>
    <row r="13" spans="1:14" ht="15.05">
      <c r="A13" s="401"/>
      <c r="B13" s="402"/>
      <c r="C13" s="397" t="s">
        <v>122</v>
      </c>
      <c r="D13" s="398">
        <f t="shared" si="0"/>
        <v>62168.765154704954</v>
      </c>
      <c r="E13" s="397" t="s">
        <v>122</v>
      </c>
      <c r="F13" s="398">
        <f t="shared" si="1"/>
        <v>69211.748905577129</v>
      </c>
      <c r="G13" s="397" t="s">
        <v>122</v>
      </c>
      <c r="H13" s="398">
        <f t="shared" si="2"/>
        <v>76972.764393916164</v>
      </c>
      <c r="I13" s="391"/>
      <c r="J13" s="391"/>
      <c r="K13" s="392"/>
    </row>
    <row r="14" spans="1:14" ht="15.05">
      <c r="A14" s="401"/>
      <c r="B14" s="402"/>
      <c r="C14" s="397" t="s">
        <v>123</v>
      </c>
      <c r="D14" s="398">
        <f t="shared" si="0"/>
        <v>63412.140457799054</v>
      </c>
      <c r="E14" s="397" t="s">
        <v>123</v>
      </c>
      <c r="F14" s="398">
        <f t="shared" si="1"/>
        <v>71288.101372744452</v>
      </c>
      <c r="G14" s="397" t="s">
        <v>123</v>
      </c>
      <c r="H14" s="398">
        <f t="shared" si="2"/>
        <v>80051.674969672807</v>
      </c>
      <c r="I14" s="391"/>
      <c r="J14" s="391"/>
      <c r="K14" s="392"/>
    </row>
    <row r="15" spans="1:14" ht="15.05">
      <c r="A15" s="401"/>
      <c r="B15" s="402"/>
      <c r="C15" s="397" t="s">
        <v>124</v>
      </c>
      <c r="D15" s="398">
        <f t="shared" si="0"/>
        <v>64680.383266955039</v>
      </c>
      <c r="E15" s="397" t="s">
        <v>124</v>
      </c>
      <c r="F15" s="398">
        <f t="shared" si="1"/>
        <v>73426.74441392679</v>
      </c>
      <c r="G15" s="397" t="s">
        <v>124</v>
      </c>
      <c r="H15" s="398">
        <f t="shared" si="2"/>
        <v>83253.741968459726</v>
      </c>
      <c r="I15" s="391"/>
      <c r="J15" s="391"/>
      <c r="K15" s="392"/>
    </row>
    <row r="16" spans="1:14" ht="15.05">
      <c r="A16" s="401"/>
      <c r="B16" s="402"/>
      <c r="C16" s="397" t="s">
        <v>125</v>
      </c>
      <c r="D16" s="398">
        <f t="shared" si="0"/>
        <v>65973.990932294138</v>
      </c>
      <c r="E16" s="397" t="s">
        <v>125</v>
      </c>
      <c r="F16" s="398">
        <f t="shared" si="1"/>
        <v>75629.546746344597</v>
      </c>
      <c r="G16" s="397" t="s">
        <v>125</v>
      </c>
      <c r="H16" s="398">
        <f t="shared" si="2"/>
        <v>86583.891647198121</v>
      </c>
      <c r="I16" s="391"/>
      <c r="J16" s="391"/>
      <c r="K16" s="392"/>
    </row>
    <row r="17" spans="1:11" ht="15.05">
      <c r="A17" s="401"/>
      <c r="B17" s="402"/>
      <c r="C17" s="397" t="s">
        <v>126</v>
      </c>
      <c r="D17" s="398">
        <f t="shared" si="0"/>
        <v>67293.470750940018</v>
      </c>
      <c r="E17" s="397" t="s">
        <v>126</v>
      </c>
      <c r="F17" s="398">
        <f t="shared" si="1"/>
        <v>77898.433148734941</v>
      </c>
      <c r="G17" s="397" t="s">
        <v>126</v>
      </c>
      <c r="H17" s="398">
        <f t="shared" si="2"/>
        <v>90047.247313086045</v>
      </c>
      <c r="I17" s="391"/>
      <c r="J17" s="391"/>
      <c r="K17" s="392"/>
    </row>
    <row r="18" spans="1:11" ht="15.05">
      <c r="A18" s="401"/>
      <c r="B18" s="402"/>
      <c r="C18" s="397" t="s">
        <v>127</v>
      </c>
      <c r="D18" s="398">
        <f t="shared" si="0"/>
        <v>68639.340165958813</v>
      </c>
      <c r="E18" s="397" t="s">
        <v>127</v>
      </c>
      <c r="F18" s="398">
        <f t="shared" si="1"/>
        <v>80235.386143196985</v>
      </c>
      <c r="G18" s="397" t="s">
        <v>127</v>
      </c>
      <c r="H18" s="398">
        <f t="shared" si="2"/>
        <v>93649.137205609484</v>
      </c>
      <c r="I18" s="391"/>
      <c r="J18" s="391"/>
      <c r="K18" s="392"/>
    </row>
    <row r="19" spans="1:11" ht="15.05">
      <c r="A19" s="401"/>
      <c r="B19" s="402"/>
      <c r="C19" s="397" t="s">
        <v>128</v>
      </c>
      <c r="D19" s="398">
        <f t="shared" si="0"/>
        <v>70012.12696927799</v>
      </c>
      <c r="E19" s="397" t="s">
        <v>128</v>
      </c>
      <c r="F19" s="398">
        <f t="shared" si="1"/>
        <v>82642.447727492894</v>
      </c>
      <c r="G19" s="397" t="s">
        <v>128</v>
      </c>
      <c r="H19" s="398">
        <f t="shared" si="2"/>
        <v>97395.102693833862</v>
      </c>
      <c r="I19" s="391"/>
      <c r="J19" s="391"/>
      <c r="K19" s="392"/>
    </row>
    <row r="20" spans="1:11" ht="15.05">
      <c r="A20" s="401"/>
      <c r="B20" s="402"/>
      <c r="C20" s="397" t="s">
        <v>129</v>
      </c>
      <c r="D20" s="398">
        <f t="shared" si="0"/>
        <v>71412.369508663556</v>
      </c>
      <c r="E20" s="397" t="s">
        <v>129</v>
      </c>
      <c r="F20" s="398">
        <f t="shared" si="1"/>
        <v>85121.721159317676</v>
      </c>
      <c r="G20" s="397" t="s">
        <v>129</v>
      </c>
      <c r="H20" s="398">
        <f t="shared" si="2"/>
        <v>101290.90680158722</v>
      </c>
      <c r="I20" s="391"/>
      <c r="J20" s="391"/>
      <c r="K20" s="392"/>
    </row>
    <row r="21" spans="1:11" ht="15.05">
      <c r="A21" s="403"/>
      <c r="B21" s="404"/>
      <c r="C21" s="397" t="s">
        <v>130</v>
      </c>
      <c r="D21" s="398">
        <f t="shared" si="0"/>
        <v>72840.61689883683</v>
      </c>
      <c r="E21" s="397" t="s">
        <v>130</v>
      </c>
      <c r="F21" s="398">
        <f t="shared" si="1"/>
        <v>87675.372794097202</v>
      </c>
      <c r="G21" s="397" t="s">
        <v>130</v>
      </c>
      <c r="H21" s="398">
        <f t="shared" si="2"/>
        <v>105342.54307365071</v>
      </c>
      <c r="I21" s="391"/>
      <c r="J21" s="391"/>
      <c r="K21" s="392"/>
    </row>
    <row r="22" spans="1:11" ht="15.05">
      <c r="A22" s="394"/>
      <c r="B22" s="395"/>
      <c r="C22" s="397" t="s">
        <v>131</v>
      </c>
      <c r="D22" s="398">
        <f t="shared" si="0"/>
        <v>74297.429236813565</v>
      </c>
      <c r="E22" s="397" t="s">
        <v>131</v>
      </c>
      <c r="F22" s="398">
        <f t="shared" si="1"/>
        <v>90305.633977920123</v>
      </c>
      <c r="G22" s="397" t="s">
        <v>131</v>
      </c>
      <c r="H22" s="398">
        <f t="shared" si="2"/>
        <v>109556.24479659674</v>
      </c>
      <c r="I22" s="391"/>
      <c r="J22" s="391"/>
      <c r="K22" s="392"/>
    </row>
    <row r="23" spans="1:11" ht="15.05">
      <c r="A23" s="405"/>
      <c r="B23" s="406"/>
      <c r="C23" s="397" t="s">
        <v>132</v>
      </c>
      <c r="D23" s="398">
        <f t="shared" si="0"/>
        <v>75783.377821549831</v>
      </c>
      <c r="E23" s="397" t="s">
        <v>132</v>
      </c>
      <c r="F23" s="398">
        <f t="shared" si="1"/>
        <v>93014.802997257735</v>
      </c>
      <c r="G23" s="397" t="s">
        <v>132</v>
      </c>
      <c r="H23" s="398">
        <f t="shared" si="2"/>
        <v>113938.49458846061</v>
      </c>
      <c r="I23" s="391"/>
      <c r="J23" s="391"/>
      <c r="K23" s="392"/>
    </row>
    <row r="24" spans="1:11" ht="15.05">
      <c r="A24" s="407"/>
      <c r="B24" s="75"/>
      <c r="C24" s="397" t="s">
        <v>133</v>
      </c>
      <c r="D24" s="398">
        <f t="shared" si="0"/>
        <v>77299.04537798083</v>
      </c>
      <c r="E24" s="397" t="s">
        <v>133</v>
      </c>
      <c r="F24" s="398">
        <f t="shared" si="1"/>
        <v>95805.247087175463</v>
      </c>
      <c r="G24" s="397" t="s">
        <v>133</v>
      </c>
      <c r="H24" s="398">
        <f t="shared" si="2"/>
        <v>118496.03437199905</v>
      </c>
      <c r="I24" s="391"/>
      <c r="J24" s="391"/>
      <c r="K24" s="392"/>
    </row>
    <row r="25" spans="1:11" ht="17.7">
      <c r="A25" s="408"/>
      <c r="B25" s="409"/>
      <c r="C25" s="397" t="s">
        <v>134</v>
      </c>
      <c r="D25" s="398">
        <f t="shared" si="0"/>
        <v>78845.026285540443</v>
      </c>
      <c r="E25" s="397" t="s">
        <v>134</v>
      </c>
      <c r="F25" s="398">
        <f t="shared" si="1"/>
        <v>98679.404499790733</v>
      </c>
      <c r="G25" s="397" t="s">
        <v>134</v>
      </c>
      <c r="H25" s="398">
        <f t="shared" si="2"/>
        <v>123235.87574687901</v>
      </c>
      <c r="I25" s="391"/>
      <c r="J25" s="391"/>
      <c r="K25" s="392"/>
    </row>
    <row r="26" spans="1:11" ht="15.05">
      <c r="A26" s="410"/>
      <c r="B26" s="411"/>
      <c r="C26" s="411"/>
      <c r="D26" s="411"/>
      <c r="E26" s="411"/>
      <c r="F26" s="411"/>
      <c r="G26" s="411"/>
      <c r="H26" s="411"/>
      <c r="I26" s="391"/>
      <c r="J26" s="391"/>
      <c r="K26" s="392"/>
    </row>
    <row r="27" spans="1:11" ht="20.3">
      <c r="A27" s="412"/>
      <c r="B27" s="413"/>
      <c r="C27" s="413"/>
      <c r="D27" s="414"/>
      <c r="E27" s="413"/>
      <c r="F27" s="414"/>
      <c r="G27" s="413"/>
      <c r="H27" s="414"/>
      <c r="I27" s="415"/>
      <c r="J27" s="415"/>
      <c r="K27" s="416"/>
    </row>
    <row r="28" spans="1:11" ht="17.7">
      <c r="A28" s="75"/>
      <c r="B28" s="75"/>
      <c r="C28" s="75"/>
      <c r="D28" s="417"/>
      <c r="E28" s="75"/>
      <c r="F28" s="417"/>
      <c r="G28" s="75"/>
      <c r="H28" s="417"/>
      <c r="I28" s="75"/>
      <c r="J28" s="75"/>
      <c r="K28" s="75"/>
    </row>
    <row r="29" spans="1:11" ht="15.05">
      <c r="A29" s="411"/>
      <c r="B29" s="411"/>
      <c r="C29" s="411"/>
      <c r="D29" s="418"/>
      <c r="E29" s="411"/>
      <c r="F29" s="418"/>
      <c r="G29" s="411"/>
      <c r="H29" s="418"/>
      <c r="I29" s="75"/>
      <c r="J29" s="75"/>
      <c r="K29" s="75"/>
    </row>
    <row r="30" spans="1:11" ht="13.1">
      <c r="A30" s="75"/>
      <c r="B30" s="75"/>
      <c r="C30" s="75"/>
      <c r="D30" s="411"/>
      <c r="E30" s="75"/>
      <c r="F30" s="411"/>
      <c r="G30" s="75"/>
      <c r="H30" s="411"/>
      <c r="I30" s="75"/>
      <c r="J30" s="75"/>
      <c r="K30" s="75"/>
    </row>
    <row r="31" spans="1:11" ht="17.7">
      <c r="A31" s="411"/>
      <c r="B31" s="411"/>
      <c r="C31" s="411"/>
      <c r="D31" s="419"/>
      <c r="E31" s="411"/>
      <c r="F31" s="419"/>
      <c r="G31" s="411"/>
      <c r="H31" s="419"/>
      <c r="I31" s="75"/>
      <c r="J31" s="75"/>
      <c r="K31" s="75"/>
    </row>
    <row r="32" spans="1:11">
      <c r="A32" s="75"/>
      <c r="B32" s="75"/>
      <c r="C32" s="75"/>
      <c r="D32" s="75"/>
      <c r="E32" s="75"/>
      <c r="F32" s="75"/>
      <c r="G32" s="75"/>
      <c r="H32" s="75"/>
      <c r="I32" s="75"/>
      <c r="J32" s="75"/>
      <c r="K32" s="75"/>
    </row>
    <row r="33" spans="1:11" ht="15.05">
      <c r="A33" s="411"/>
      <c r="B33" s="411"/>
      <c r="C33" s="411"/>
      <c r="D33" s="420"/>
      <c r="E33" s="411"/>
      <c r="F33" s="420"/>
      <c r="G33" s="411"/>
      <c r="H33" s="420"/>
      <c r="I33" s="75"/>
      <c r="J33" s="75"/>
      <c r="K33" s="75"/>
    </row>
    <row r="34" spans="1:11">
      <c r="A34" s="75"/>
      <c r="B34" s="75"/>
      <c r="C34" s="75"/>
      <c r="D34" s="75"/>
      <c r="E34" s="75"/>
      <c r="F34" s="75"/>
      <c r="G34" s="75"/>
      <c r="H34" s="75"/>
      <c r="I34" s="75"/>
      <c r="J34" s="75"/>
      <c r="K34" s="75"/>
    </row>
    <row r="35" spans="1:11">
      <c r="A35" s="75"/>
      <c r="B35" s="75"/>
      <c r="C35" s="75"/>
      <c r="D35" s="75"/>
      <c r="E35" s="75"/>
      <c r="F35" s="75"/>
      <c r="G35" s="75"/>
      <c r="H35" s="75"/>
      <c r="I35" s="75"/>
      <c r="J35" s="75"/>
      <c r="K35" s="75"/>
    </row>
    <row r="36" spans="1:11">
      <c r="A36" s="75"/>
      <c r="B36" s="75"/>
      <c r="C36" s="75"/>
      <c r="D36" s="75"/>
      <c r="E36" s="75"/>
      <c r="F36" s="75"/>
      <c r="G36" s="75"/>
      <c r="H36" s="75"/>
      <c r="I36" s="75"/>
      <c r="J36" s="75"/>
      <c r="K36" s="75"/>
    </row>
    <row r="37" spans="1:11">
      <c r="A37" s="75"/>
      <c r="B37" s="75"/>
      <c r="C37" s="75"/>
      <c r="D37" s="75"/>
      <c r="E37" s="75"/>
      <c r="F37" s="75"/>
      <c r="G37" s="75"/>
      <c r="H37" s="75"/>
      <c r="I37" s="75"/>
      <c r="J37" s="75"/>
      <c r="K37" s="75"/>
    </row>
    <row r="38" spans="1:11">
      <c r="A38" s="75"/>
      <c r="B38" s="75"/>
      <c r="C38" s="75"/>
      <c r="D38" s="75"/>
      <c r="E38" s="75"/>
      <c r="F38" s="75"/>
      <c r="G38" s="75"/>
      <c r="H38" s="75"/>
      <c r="I38" s="75"/>
      <c r="J38" s="75"/>
      <c r="K38" s="75"/>
    </row>
    <row r="39" spans="1:11">
      <c r="A39" s="75"/>
      <c r="B39" s="75"/>
      <c r="C39" s="75"/>
      <c r="D39" s="75"/>
      <c r="E39" s="75"/>
      <c r="F39" s="75"/>
      <c r="G39" s="75"/>
      <c r="H39" s="75"/>
      <c r="I39" s="75"/>
      <c r="J39" s="75"/>
      <c r="K39" s="75"/>
    </row>
    <row r="40" spans="1:11">
      <c r="A40" s="75"/>
      <c r="B40" s="75"/>
      <c r="C40" s="75"/>
      <c r="D40" s="75"/>
      <c r="E40" s="75"/>
      <c r="F40" s="75"/>
      <c r="G40" s="75"/>
      <c r="H40" s="75"/>
      <c r="I40" s="75"/>
      <c r="J40" s="75"/>
      <c r="K40" s="75"/>
    </row>
    <row r="41" spans="1:11">
      <c r="A41" s="75"/>
      <c r="B41" s="75"/>
      <c r="C41" s="75"/>
      <c r="D41" s="75"/>
      <c r="E41" s="75"/>
      <c r="F41" s="75"/>
      <c r="G41" s="75"/>
      <c r="H41" s="75"/>
      <c r="I41" s="75"/>
      <c r="J41" s="75"/>
      <c r="K41" s="75"/>
    </row>
    <row r="42" spans="1:11">
      <c r="A42" s="75"/>
      <c r="B42" s="75"/>
      <c r="C42" s="75"/>
      <c r="D42" s="75"/>
      <c r="E42" s="75"/>
      <c r="F42" s="75"/>
      <c r="G42" s="75"/>
      <c r="H42" s="75"/>
      <c r="I42" s="75"/>
      <c r="J42" s="75"/>
      <c r="K42" s="75"/>
    </row>
    <row r="43" spans="1:11">
      <c r="A43" s="75"/>
      <c r="B43" s="75"/>
      <c r="C43" s="75"/>
      <c r="D43" s="75"/>
      <c r="E43" s="75"/>
      <c r="F43" s="75"/>
      <c r="G43" s="75"/>
      <c r="H43" s="75"/>
      <c r="I43" s="75"/>
      <c r="J43" s="75"/>
      <c r="K43" s="75"/>
    </row>
    <row r="44" spans="1:11">
      <c r="A44" s="75"/>
      <c r="B44" s="75"/>
      <c r="C44" s="75"/>
      <c r="D44" s="75"/>
      <c r="E44" s="75"/>
      <c r="F44" s="75"/>
      <c r="G44" s="75"/>
      <c r="H44" s="75"/>
      <c r="I44" s="75"/>
      <c r="J44" s="75"/>
      <c r="K44" s="75"/>
    </row>
    <row r="45" spans="1:11">
      <c r="A45" s="75"/>
      <c r="B45" s="75"/>
      <c r="C45" s="75"/>
      <c r="D45" s="75"/>
      <c r="E45" s="75"/>
      <c r="F45" s="75"/>
      <c r="G45" s="75"/>
      <c r="H45" s="75"/>
      <c r="I45" s="75"/>
      <c r="J45" s="75"/>
      <c r="K45" s="75"/>
    </row>
    <row r="46" spans="1:11">
      <c r="A46" s="75"/>
      <c r="B46" s="75"/>
      <c r="C46" s="75"/>
      <c r="D46" s="75"/>
      <c r="E46" s="75"/>
      <c r="F46" s="75"/>
      <c r="G46" s="75"/>
      <c r="H46" s="75"/>
      <c r="I46" s="75"/>
      <c r="J46" s="75"/>
      <c r="K46" s="75"/>
    </row>
    <row r="47" spans="1:11">
      <c r="A47" s="75"/>
      <c r="B47" s="75"/>
      <c r="C47" s="75"/>
      <c r="D47" s="75"/>
      <c r="E47" s="75"/>
      <c r="F47" s="75"/>
      <c r="G47" s="75"/>
      <c r="H47" s="75"/>
      <c r="I47" s="75"/>
      <c r="J47" s="75"/>
      <c r="K47" s="75"/>
    </row>
    <row r="48" spans="1:11">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row r="114" spans="1:11">
      <c r="A114" s="75"/>
      <c r="B114" s="75"/>
      <c r="C114" s="75"/>
      <c r="D114" s="75"/>
      <c r="E114" s="75"/>
      <c r="F114" s="75"/>
      <c r="G114" s="75"/>
      <c r="H114" s="75"/>
      <c r="I114" s="75"/>
      <c r="J114" s="75"/>
      <c r="K114" s="75"/>
    </row>
    <row r="115" spans="1:11">
      <c r="A115" s="75"/>
      <c r="B115" s="75"/>
      <c r="C115" s="75"/>
      <c r="D115" s="75"/>
      <c r="E115" s="75"/>
      <c r="F115" s="75"/>
      <c r="G115" s="75"/>
      <c r="H115" s="75"/>
      <c r="I115" s="75"/>
      <c r="J115" s="75"/>
      <c r="K115" s="75"/>
    </row>
    <row r="116" spans="1:11">
      <c r="A116" s="75"/>
      <c r="B116" s="75"/>
      <c r="C116" s="75"/>
      <c r="D116" s="75"/>
      <c r="E116" s="75"/>
      <c r="F116" s="75"/>
      <c r="G116" s="75"/>
      <c r="H116" s="75"/>
      <c r="I116" s="75"/>
      <c r="J116" s="75"/>
      <c r="K116" s="75"/>
    </row>
    <row r="117" spans="1:11">
      <c r="A117" s="75"/>
      <c r="B117" s="75"/>
      <c r="C117" s="75"/>
      <c r="D117" s="75"/>
      <c r="E117" s="75"/>
      <c r="F117" s="75"/>
      <c r="G117" s="75"/>
      <c r="H117" s="75"/>
      <c r="I117" s="75"/>
      <c r="J117" s="75"/>
      <c r="K117" s="75"/>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98" t="s">
        <v>605</v>
      </c>
      <c r="J1" s="1598"/>
      <c r="K1" s="1598"/>
      <c r="L1" s="1598"/>
      <c r="M1" s="1598"/>
      <c r="N1" s="686">
        <f>'Egan Asset Summary'!O3</f>
        <v>0</v>
      </c>
      <c r="O1" s="211"/>
      <c r="S1" s="89"/>
    </row>
    <row r="2" spans="1:25" ht="20.3">
      <c r="A2" s="211"/>
      <c r="B2" s="209"/>
      <c r="C2" s="710"/>
      <c r="D2" s="595"/>
      <c r="E2" s="1979" t="s">
        <v>626</v>
      </c>
      <c r="F2" s="1979"/>
      <c r="G2" s="1979"/>
      <c r="H2" s="1979"/>
      <c r="I2" s="1979"/>
      <c r="J2" s="1979"/>
      <c r="K2" s="1979"/>
      <c r="L2" s="1989"/>
      <c r="M2" s="1989"/>
      <c r="N2" s="593"/>
      <c r="O2" s="211"/>
    </row>
    <row r="3" spans="1:25" ht="24.05" customHeight="1">
      <c r="A3" s="211"/>
      <c r="B3" s="209"/>
      <c r="C3" s="1981" t="s">
        <v>588</v>
      </c>
      <c r="D3" s="1981"/>
      <c r="E3" s="1981"/>
      <c r="F3" s="1981"/>
      <c r="G3" s="1981"/>
      <c r="H3" s="1981"/>
      <c r="I3" s="1981"/>
      <c r="J3" s="1981"/>
      <c r="K3" s="1981"/>
      <c r="L3" s="1981"/>
      <c r="M3" s="1981"/>
      <c r="N3" s="707">
        <v>168300</v>
      </c>
      <c r="O3" s="211"/>
    </row>
    <row r="4" spans="1:25" ht="17.7">
      <c r="A4" s="211"/>
      <c r="B4" s="209"/>
      <c r="C4" s="1604" t="s">
        <v>607</v>
      </c>
      <c r="D4" s="1988"/>
      <c r="E4" s="1988"/>
      <c r="F4" s="1988"/>
      <c r="G4" s="1988"/>
      <c r="H4" s="1988"/>
      <c r="I4" s="1988"/>
      <c r="J4" s="1988"/>
      <c r="K4" s="1988"/>
      <c r="L4" s="1988"/>
      <c r="M4" s="1988"/>
      <c r="N4" s="596"/>
      <c r="O4" s="211"/>
    </row>
    <row r="5" spans="1:25" ht="15.05">
      <c r="A5" s="211"/>
      <c r="B5" s="209"/>
      <c r="C5" s="599"/>
      <c r="D5" s="1973"/>
      <c r="E5" s="1973"/>
      <c r="F5" s="1973"/>
      <c r="G5" s="1973"/>
      <c r="H5" s="1973"/>
      <c r="I5" s="1973"/>
      <c r="J5" s="1973"/>
      <c r="K5" s="1973"/>
      <c r="L5" s="1973"/>
      <c r="M5" s="687">
        <f>'Egan Asset Summary'!L4</f>
        <v>0</v>
      </c>
      <c r="N5" s="689">
        <f>'Egan Asset Summary'!O4</f>
        <v>0</v>
      </c>
      <c r="O5" s="211"/>
    </row>
    <row r="6" spans="1:25" ht="15.05">
      <c r="A6" s="211"/>
      <c r="B6" s="209"/>
      <c r="C6" s="599"/>
      <c r="D6" s="1974"/>
      <c r="E6" s="1974"/>
      <c r="F6" s="1974"/>
      <c r="G6" s="1974"/>
      <c r="H6" s="1974"/>
      <c r="I6" s="1974"/>
      <c r="J6" s="1974"/>
      <c r="K6" s="1974"/>
      <c r="L6" s="1974"/>
      <c r="M6" s="688">
        <f>'Egan Asset Summary'!M5</f>
        <v>0</v>
      </c>
      <c r="N6" s="690">
        <f>'Egan Asset Summary'!O5</f>
        <v>0</v>
      </c>
      <c r="O6" s="211"/>
    </row>
    <row r="7" spans="1:25">
      <c r="A7" s="600"/>
      <c r="B7" s="209"/>
      <c r="C7" s="599"/>
      <c r="D7" s="1975"/>
      <c r="E7" s="1976"/>
      <c r="F7" s="1976"/>
      <c r="G7" s="1976"/>
      <c r="H7" s="1976"/>
      <c r="I7" s="1976"/>
      <c r="J7" s="1976"/>
      <c r="K7" s="1976"/>
      <c r="L7" s="1976"/>
      <c r="N7" s="597"/>
      <c r="O7" s="211"/>
    </row>
    <row r="8" spans="1:25"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629</v>
      </c>
      <c r="M8" s="36"/>
      <c r="N8" s="149"/>
      <c r="O8" s="36" t="s">
        <v>614</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2" t="s">
        <v>34</v>
      </c>
      <c r="B10" s="1532"/>
      <c r="C10" s="1977"/>
      <c r="D10" s="668" t="s">
        <v>615</v>
      </c>
      <c r="E10" s="668" t="s">
        <v>616</v>
      </c>
      <c r="F10" s="299" t="s">
        <v>617</v>
      </c>
      <c r="G10" s="299" t="s">
        <v>618</v>
      </c>
      <c r="H10" s="343" t="s">
        <v>627</v>
      </c>
      <c r="I10" s="343" t="s">
        <v>620</v>
      </c>
      <c r="J10" s="299" t="s">
        <v>621</v>
      </c>
      <c r="K10" s="299" t="s">
        <v>622</v>
      </c>
      <c r="L10" s="299" t="s">
        <v>630</v>
      </c>
      <c r="M10" s="217"/>
      <c r="N10" s="691" t="s">
        <v>624</v>
      </c>
      <c r="O10" s="299" t="s">
        <v>625</v>
      </c>
    </row>
    <row r="11" spans="1:25">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f t="shared" si="1"/>
        <v>2</v>
      </c>
      <c r="C13" s="119">
        <f t="shared" si="1"/>
        <v>2</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219">
        <v>0</v>
      </c>
      <c r="N14" s="45">
        <f t="shared" si="0"/>
        <v>128188</v>
      </c>
      <c r="O14" s="219">
        <v>0</v>
      </c>
    </row>
    <row r="15" spans="1:25">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219">
        <v>0</v>
      </c>
      <c r="N15" s="45">
        <f t="shared" si="0"/>
        <v>119857.89</v>
      </c>
      <c r="O15" s="719">
        <v>17588.830000000002</v>
      </c>
    </row>
    <row r="16" spans="1:25">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219">
        <v>0</v>
      </c>
      <c r="N16" s="45">
        <f t="shared" si="0"/>
        <v>120396.93000000001</v>
      </c>
      <c r="O16" s="219">
        <v>0</v>
      </c>
    </row>
    <row r="17" spans="1:15">
      <c r="A17" s="155">
        <f t="shared" si="1"/>
        <v>2025</v>
      </c>
      <c r="B17" s="119">
        <f t="shared" si="1"/>
        <v>6</v>
      </c>
      <c r="C17" s="119">
        <f t="shared" si="1"/>
        <v>6</v>
      </c>
      <c r="D17" s="219">
        <v>0</v>
      </c>
      <c r="E17" s="339">
        <f t="shared" ref="E17:E33" si="2">E16*1.02</f>
        <v>28040.860800000002</v>
      </c>
      <c r="F17" s="219">
        <v>73800</v>
      </c>
      <c r="G17" s="219">
        <v>0</v>
      </c>
      <c r="H17" s="219">
        <v>0</v>
      </c>
      <c r="I17" s="219">
        <v>7380</v>
      </c>
      <c r="J17" s="719">
        <v>11725.89</v>
      </c>
      <c r="K17" s="219">
        <v>0</v>
      </c>
      <c r="L17" s="219">
        <v>0</v>
      </c>
      <c r="M17" s="219">
        <v>0</v>
      </c>
      <c r="N17" s="45">
        <f t="shared" si="0"/>
        <v>120946.75079999999</v>
      </c>
      <c r="O17" s="219">
        <v>0</v>
      </c>
    </row>
    <row r="18" spans="1:15">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219">
        <v>0</v>
      </c>
      <c r="N18" s="45">
        <f t="shared" si="0"/>
        <v>103529.568016</v>
      </c>
      <c r="O18" s="219">
        <v>0</v>
      </c>
    </row>
    <row r="19" spans="1:15">
      <c r="A19" s="119">
        <f t="shared" si="1"/>
        <v>2027</v>
      </c>
      <c r="B19" s="119">
        <f t="shared" si="1"/>
        <v>8</v>
      </c>
      <c r="C19" s="119">
        <f t="shared" si="1"/>
        <v>8</v>
      </c>
      <c r="D19" s="338">
        <v>29124</v>
      </c>
      <c r="E19" s="339">
        <f t="shared" si="2"/>
        <v>29173.711576320002</v>
      </c>
      <c r="F19" s="219">
        <v>0</v>
      </c>
      <c r="G19" s="219">
        <v>0</v>
      </c>
      <c r="H19" s="219">
        <v>10608</v>
      </c>
      <c r="I19" s="219">
        <v>7380</v>
      </c>
      <c r="J19" s="719">
        <v>11725.89</v>
      </c>
      <c r="K19" s="719">
        <v>7487.9</v>
      </c>
      <c r="L19" s="719">
        <v>22463.69</v>
      </c>
      <c r="M19" s="219">
        <v>0</v>
      </c>
      <c r="N19" s="708">
        <f t="shared" si="0"/>
        <v>117963.19157631999</v>
      </c>
      <c r="O19" s="719">
        <v>44927.39</v>
      </c>
    </row>
    <row r="20" spans="1:15">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22463.69</v>
      </c>
      <c r="M20" s="219">
        <v>0</v>
      </c>
      <c r="N20" s="45">
        <f t="shared" si="0"/>
        <v>119129.14580784641</v>
      </c>
      <c r="O20" s="219">
        <v>0</v>
      </c>
    </row>
    <row r="21" spans="1:15">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22463.69</v>
      </c>
      <c r="M21" s="219">
        <v>0</v>
      </c>
      <c r="N21" s="45">
        <f t="shared" si="0"/>
        <v>120318.41912400333</v>
      </c>
      <c r="O21" s="219">
        <v>0</v>
      </c>
    </row>
    <row r="22" spans="1:15">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22463.69</v>
      </c>
      <c r="M22" s="219">
        <v>0</v>
      </c>
      <c r="N22" s="45">
        <f t="shared" si="0"/>
        <v>121531.4779064834</v>
      </c>
      <c r="O22" s="219">
        <v>0</v>
      </c>
    </row>
    <row r="23" spans="1:15">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22463.69</v>
      </c>
      <c r="M23" s="219">
        <v>0</v>
      </c>
      <c r="N23" s="45">
        <f t="shared" si="0"/>
        <v>122768.79786461307</v>
      </c>
      <c r="O23" s="219">
        <v>0</v>
      </c>
    </row>
    <row r="24" spans="1:15">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22463.69</v>
      </c>
      <c r="M24" s="219">
        <v>0</v>
      </c>
      <c r="N24" s="45">
        <f t="shared" si="0"/>
        <v>124030.86422190533</v>
      </c>
      <c r="O24" s="219">
        <v>0</v>
      </c>
    </row>
    <row r="25" spans="1:15">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22463.69</v>
      </c>
      <c r="M25" s="219">
        <v>0</v>
      </c>
      <c r="N25" s="45">
        <f t="shared" si="0"/>
        <v>125318.17190634344</v>
      </c>
      <c r="O25" s="219">
        <v>0</v>
      </c>
    </row>
    <row r="26" spans="1:15">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22463.69</v>
      </c>
      <c r="M26" s="219">
        <v>0</v>
      </c>
      <c r="N26" s="45">
        <f t="shared" si="0"/>
        <v>126631.2257444703</v>
      </c>
      <c r="O26" s="219">
        <v>0</v>
      </c>
    </row>
    <row r="27" spans="1:15">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22463.69</v>
      </c>
      <c r="M27" s="219">
        <v>0</v>
      </c>
      <c r="N27" s="45">
        <f t="shared" si="0"/>
        <v>127970.54065935971</v>
      </c>
      <c r="O27" s="219">
        <v>0</v>
      </c>
    </row>
    <row r="28" spans="1:15">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22463.69</v>
      </c>
      <c r="M28" s="219">
        <v>0</v>
      </c>
      <c r="N28" s="45">
        <f t="shared" si="0"/>
        <v>129336.64187254691</v>
      </c>
      <c r="O28" s="219">
        <v>0</v>
      </c>
    </row>
    <row r="29" spans="1:15">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22463.69</v>
      </c>
      <c r="M29" s="219">
        <v>0</v>
      </c>
      <c r="N29" s="45">
        <f t="shared" si="0"/>
        <v>130730.06510999786</v>
      </c>
      <c r="O29" s="219">
        <v>0</v>
      </c>
    </row>
    <row r="30" spans="1:15">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22463.69</v>
      </c>
      <c r="M30" s="219">
        <v>0</v>
      </c>
      <c r="N30" s="45">
        <f t="shared" si="0"/>
        <v>132151.3568121978</v>
      </c>
      <c r="O30" s="219">
        <v>0</v>
      </c>
    </row>
    <row r="31" spans="1:15">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22463.69</v>
      </c>
      <c r="M31" s="219">
        <v>0</v>
      </c>
      <c r="N31" s="45">
        <f t="shared" si="0"/>
        <v>133601.07434844176</v>
      </c>
      <c r="O31" s="219">
        <v>0</v>
      </c>
    </row>
    <row r="32" spans="1:15">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22463.69</v>
      </c>
      <c r="M32" s="219">
        <v>0</v>
      </c>
      <c r="N32" s="45">
        <f t="shared" si="0"/>
        <v>135079.7862354106</v>
      </c>
      <c r="O32" s="219">
        <v>0</v>
      </c>
    </row>
    <row r="33" spans="1:25">
      <c r="A33" s="119">
        <f t="shared" si="4"/>
        <v>2041</v>
      </c>
      <c r="B33" s="119">
        <f t="shared" si="4"/>
        <v>22</v>
      </c>
      <c r="C33" s="119">
        <f t="shared" si="4"/>
        <v>22</v>
      </c>
      <c r="D33" s="338">
        <f t="shared" si="3"/>
        <v>38428.499495443095</v>
      </c>
      <c r="E33" s="339">
        <f t="shared" si="2"/>
        <v>38494.092864675724</v>
      </c>
      <c r="F33" s="219">
        <v>0</v>
      </c>
      <c r="G33" s="219">
        <v>0</v>
      </c>
      <c r="H33" s="219">
        <v>10608</v>
      </c>
      <c r="I33" s="190">
        <v>7380</v>
      </c>
      <c r="J33" s="719">
        <v>11725.89</v>
      </c>
      <c r="K33" s="719">
        <v>7487.9</v>
      </c>
      <c r="L33" s="719">
        <v>22463.69</v>
      </c>
      <c r="M33" s="219">
        <v>0</v>
      </c>
      <c r="N33" s="613">
        <f t="shared" si="0"/>
        <v>136588.07236011879</v>
      </c>
      <c r="O33" s="219">
        <v>0</v>
      </c>
    </row>
    <row r="34" spans="1:25">
      <c r="A34" s="119">
        <f t="shared" si="4"/>
        <v>2042</v>
      </c>
      <c r="B34" s="150">
        <f t="shared" si="4"/>
        <v>23</v>
      </c>
      <c r="C34" s="119">
        <f t="shared" si="4"/>
        <v>23</v>
      </c>
      <c r="D34" s="338">
        <f t="shared" si="3"/>
        <v>39197.06948535196</v>
      </c>
      <c r="E34" s="339">
        <v>0</v>
      </c>
      <c r="F34" s="219">
        <v>0</v>
      </c>
      <c r="G34" s="219">
        <v>0</v>
      </c>
      <c r="H34" s="338">
        <v>10608</v>
      </c>
      <c r="I34" s="339">
        <v>3690</v>
      </c>
      <c r="J34" s="719">
        <v>11725.89</v>
      </c>
      <c r="K34" s="719">
        <v>7487.9</v>
      </c>
      <c r="L34" s="719">
        <v>22463.69</v>
      </c>
      <c r="M34" s="219">
        <v>0</v>
      </c>
      <c r="N34" s="337">
        <f t="shared" si="0"/>
        <v>95172.549485351963</v>
      </c>
      <c r="O34" s="219">
        <v>0</v>
      </c>
    </row>
    <row r="35" spans="1:25">
      <c r="A35" s="119">
        <f t="shared" si="4"/>
        <v>2043</v>
      </c>
      <c r="B35" s="119">
        <f t="shared" si="4"/>
        <v>24</v>
      </c>
      <c r="C35" s="119">
        <f t="shared" si="4"/>
        <v>24</v>
      </c>
      <c r="D35" s="338">
        <f t="shared" si="3"/>
        <v>39981.010875059001</v>
      </c>
      <c r="E35" s="219">
        <v>0</v>
      </c>
      <c r="F35" s="219">
        <v>0</v>
      </c>
      <c r="G35" s="219">
        <v>0</v>
      </c>
      <c r="H35" s="219">
        <v>10608</v>
      </c>
      <c r="I35" s="219">
        <v>3690</v>
      </c>
      <c r="J35" s="719">
        <v>11725.89</v>
      </c>
      <c r="K35" s="719">
        <v>7487.9</v>
      </c>
      <c r="L35" s="719">
        <v>22463.69</v>
      </c>
      <c r="M35" s="219">
        <v>0</v>
      </c>
      <c r="N35" s="45">
        <f t="shared" si="0"/>
        <v>95956.490875058997</v>
      </c>
      <c r="O35" s="219">
        <v>0</v>
      </c>
    </row>
    <row r="36" spans="1:25">
      <c r="A36" s="119">
        <f t="shared" si="4"/>
        <v>2044</v>
      </c>
      <c r="B36" s="119">
        <f t="shared" si="4"/>
        <v>25</v>
      </c>
      <c r="C36" s="119">
        <f t="shared" si="4"/>
        <v>25</v>
      </c>
      <c r="D36" s="338">
        <f t="shared" si="3"/>
        <v>40780.631092560179</v>
      </c>
      <c r="E36" s="219">
        <v>0</v>
      </c>
      <c r="F36" s="219">
        <v>0</v>
      </c>
      <c r="G36" s="219">
        <v>0</v>
      </c>
      <c r="H36" s="219">
        <v>10608</v>
      </c>
      <c r="I36" s="219">
        <v>3690</v>
      </c>
      <c r="J36" s="719">
        <v>11725.89</v>
      </c>
      <c r="K36" s="719">
        <v>7487.9</v>
      </c>
      <c r="L36" s="719">
        <v>22463.69</v>
      </c>
      <c r="M36" s="219">
        <v>0</v>
      </c>
      <c r="N36" s="45">
        <f t="shared" si="0"/>
        <v>96756.111092560168</v>
      </c>
      <c r="O36" s="219">
        <v>0</v>
      </c>
    </row>
    <row r="37" spans="1:25">
      <c r="A37" s="119">
        <f t="shared" si="4"/>
        <v>2045</v>
      </c>
      <c r="B37" s="119">
        <f t="shared" si="4"/>
        <v>26</v>
      </c>
      <c r="C37" s="119">
        <f t="shared" si="4"/>
        <v>26</v>
      </c>
      <c r="D37" s="338">
        <f t="shared" si="3"/>
        <v>41596.243714411386</v>
      </c>
      <c r="E37" s="219">
        <v>0</v>
      </c>
      <c r="F37" s="219">
        <v>0</v>
      </c>
      <c r="G37" s="219">
        <v>0</v>
      </c>
      <c r="H37" s="219">
        <v>10608</v>
      </c>
      <c r="I37" s="219">
        <v>3690</v>
      </c>
      <c r="J37" s="719">
        <v>11725.89</v>
      </c>
      <c r="K37" s="719">
        <v>7487.9</v>
      </c>
      <c r="L37" s="719">
        <v>22463.69</v>
      </c>
      <c r="M37" s="219">
        <v>0</v>
      </c>
      <c r="N37" s="45">
        <f t="shared" si="0"/>
        <v>97571.723714411375</v>
      </c>
      <c r="O37" s="219">
        <v>0</v>
      </c>
    </row>
    <row r="38" spans="1:25">
      <c r="A38" s="137">
        <f t="shared" si="4"/>
        <v>2046</v>
      </c>
      <c r="B38" s="137">
        <f t="shared" si="4"/>
        <v>27</v>
      </c>
      <c r="C38" s="137">
        <f t="shared" si="4"/>
        <v>27</v>
      </c>
      <c r="D38" s="338">
        <f t="shared" si="3"/>
        <v>42428.168588699613</v>
      </c>
      <c r="E38" s="219">
        <v>0</v>
      </c>
      <c r="F38" s="219">
        <v>0</v>
      </c>
      <c r="G38" s="219">
        <v>0</v>
      </c>
      <c r="H38" s="219">
        <v>10608</v>
      </c>
      <c r="I38" s="219">
        <v>3690</v>
      </c>
      <c r="J38" s="719">
        <v>11725.89</v>
      </c>
      <c r="K38" s="719">
        <v>7487.9</v>
      </c>
      <c r="L38" s="719">
        <v>22463.69</v>
      </c>
      <c r="M38" s="219">
        <v>0</v>
      </c>
      <c r="N38" s="45">
        <f t="shared" si="0"/>
        <v>98403.648588699609</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98" t="s">
        <v>605</v>
      </c>
      <c r="J1" s="1598"/>
      <c r="K1" s="1598"/>
      <c r="L1" s="1598"/>
      <c r="M1" s="1598"/>
      <c r="N1" s="686">
        <f>'Egan Asset Summary'!O3</f>
        <v>0</v>
      </c>
      <c r="O1" s="211"/>
      <c r="S1" s="89"/>
    </row>
    <row r="2" spans="1:25" ht="20.3">
      <c r="A2" s="211"/>
      <c r="B2" s="209"/>
      <c r="C2" s="710"/>
      <c r="D2" s="595"/>
      <c r="E2" s="1984" t="s">
        <v>628</v>
      </c>
      <c r="F2" s="1984"/>
      <c r="G2" s="1984"/>
      <c r="H2" s="1984"/>
      <c r="I2" s="1984"/>
      <c r="J2" s="1984"/>
      <c r="K2" s="1984"/>
      <c r="L2" s="1989"/>
      <c r="M2" s="1989"/>
      <c r="N2" s="593"/>
      <c r="O2" s="211"/>
    </row>
    <row r="3" spans="1:25" ht="24.05" customHeight="1">
      <c r="A3" s="211"/>
      <c r="B3" s="209"/>
      <c r="C3" s="1981" t="s">
        <v>588</v>
      </c>
      <c r="D3" s="1981"/>
      <c r="E3" s="1981"/>
      <c r="F3" s="1981"/>
      <c r="G3" s="1981"/>
      <c r="H3" s="1981"/>
      <c r="I3" s="1981"/>
      <c r="J3" s="1981"/>
      <c r="K3" s="1981"/>
      <c r="L3" s="1981"/>
      <c r="M3" s="1981"/>
      <c r="N3" s="707">
        <v>168300</v>
      </c>
      <c r="O3" s="211"/>
    </row>
    <row r="4" spans="1:25" ht="17.7">
      <c r="A4" s="211"/>
      <c r="B4" s="209"/>
      <c r="C4" s="1604" t="s">
        <v>607</v>
      </c>
      <c r="D4" s="1988"/>
      <c r="E4" s="1988"/>
      <c r="F4" s="1988"/>
      <c r="G4" s="1988"/>
      <c r="H4" s="1988"/>
      <c r="I4" s="1988"/>
      <c r="J4" s="1988"/>
      <c r="K4" s="1988"/>
      <c r="L4" s="1988"/>
      <c r="M4" s="1988"/>
      <c r="N4" s="596"/>
      <c r="O4" s="211"/>
    </row>
    <row r="5" spans="1:25" ht="15.05">
      <c r="A5" s="211"/>
      <c r="B5" s="209"/>
      <c r="C5" s="599"/>
      <c r="D5" s="1973"/>
      <c r="E5" s="1973"/>
      <c r="F5" s="1973"/>
      <c r="G5" s="1973"/>
      <c r="H5" s="1973"/>
      <c r="I5" s="1973"/>
      <c r="J5" s="1973"/>
      <c r="K5" s="1973"/>
      <c r="L5" s="1973"/>
      <c r="M5" s="687">
        <f>'Egan Asset Summary'!L4</f>
        <v>0</v>
      </c>
      <c r="N5" s="689">
        <f>'Egan Asset Summary'!O4</f>
        <v>0</v>
      </c>
      <c r="O5" s="211"/>
    </row>
    <row r="6" spans="1:25" ht="15.05">
      <c r="A6" s="211"/>
      <c r="B6" s="209"/>
      <c r="C6" s="599"/>
      <c r="D6" s="1974"/>
      <c r="E6" s="1974"/>
      <c r="F6" s="1974"/>
      <c r="G6" s="1974"/>
      <c r="H6" s="1974"/>
      <c r="I6" s="1974"/>
      <c r="J6" s="1974"/>
      <c r="K6" s="1974"/>
      <c r="L6" s="1974"/>
      <c r="M6" s="688">
        <f>'Egan Asset Summary'!M5</f>
        <v>0</v>
      </c>
      <c r="N6" s="690">
        <f>'Egan Asset Summary'!O5</f>
        <v>0</v>
      </c>
      <c r="O6" s="211"/>
    </row>
    <row r="7" spans="1:25">
      <c r="A7" s="600"/>
      <c r="B7" s="209"/>
      <c r="C7" s="599"/>
      <c r="D7" s="1975"/>
      <c r="E7" s="1976"/>
      <c r="F7" s="1976"/>
      <c r="G7" s="1976"/>
      <c r="H7" s="1976"/>
      <c r="I7" s="1976"/>
      <c r="J7" s="1976"/>
      <c r="K7" s="1976"/>
      <c r="L7" s="1976"/>
      <c r="N7" s="597"/>
      <c r="O7" s="211"/>
    </row>
    <row r="8" spans="1:25" s="37" customFormat="1" ht="100" customHeight="1">
      <c r="A8" s="212" t="s">
        <v>26</v>
      </c>
      <c r="B8" s="212" t="s">
        <v>591</v>
      </c>
      <c r="C8" s="212" t="s">
        <v>592</v>
      </c>
      <c r="D8" s="683" t="s">
        <v>608</v>
      </c>
      <c r="E8" s="139" t="s">
        <v>594</v>
      </c>
      <c r="F8" s="683" t="s">
        <v>595</v>
      </c>
      <c r="G8" s="139" t="s">
        <v>596</v>
      </c>
      <c r="H8" s="136" t="s">
        <v>609</v>
      </c>
      <c r="I8" s="139" t="s">
        <v>610</v>
      </c>
      <c r="J8" s="592" t="s">
        <v>611</v>
      </c>
      <c r="K8" s="592" t="s">
        <v>612</v>
      </c>
      <c r="L8" s="592" t="s">
        <v>629</v>
      </c>
      <c r="M8" s="36"/>
      <c r="N8" s="149"/>
      <c r="O8" s="36" t="s">
        <v>614</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2" t="s">
        <v>34</v>
      </c>
      <c r="B10" s="1532"/>
      <c r="C10" s="1977"/>
      <c r="D10" s="668" t="s">
        <v>615</v>
      </c>
      <c r="E10" s="668" t="s">
        <v>616</v>
      </c>
      <c r="F10" s="299" t="s">
        <v>617</v>
      </c>
      <c r="G10" s="299" t="s">
        <v>618</v>
      </c>
      <c r="H10" s="343" t="s">
        <v>627</v>
      </c>
      <c r="I10" s="343" t="s">
        <v>620</v>
      </c>
      <c r="J10" s="299" t="s">
        <v>621</v>
      </c>
      <c r="K10" s="299" t="s">
        <v>622</v>
      </c>
      <c r="L10" s="299" t="s">
        <v>630</v>
      </c>
      <c r="M10" s="217"/>
      <c r="N10" s="691" t="s">
        <v>624</v>
      </c>
      <c r="O10" s="299" t="s">
        <v>625</v>
      </c>
    </row>
    <row r="11" spans="1:25">
      <c r="A11" s="119">
        <v>2019</v>
      </c>
      <c r="B11" s="155">
        <f>'Egan Asset Summary'!O4</f>
        <v>0</v>
      </c>
      <c r="C11" s="119">
        <f>'Egan Asset Summary'!O5</f>
        <v>0</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f t="shared" si="1"/>
        <v>1</v>
      </c>
      <c r="C12" s="334">
        <f t="shared" si="1"/>
        <v>1</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f t="shared" si="1"/>
        <v>2</v>
      </c>
      <c r="C13" s="119">
        <f t="shared" si="1"/>
        <v>2</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f t="shared" si="1"/>
        <v>3</v>
      </c>
      <c r="C14" s="706">
        <f t="shared" si="1"/>
        <v>3</v>
      </c>
      <c r="D14" s="219">
        <v>0</v>
      </c>
      <c r="E14" s="339">
        <v>17968</v>
      </c>
      <c r="F14" s="219">
        <v>73800</v>
      </c>
      <c r="G14" s="709">
        <v>31500</v>
      </c>
      <c r="H14" s="219">
        <v>0</v>
      </c>
      <c r="I14" s="190">
        <v>4920</v>
      </c>
      <c r="J14" s="219">
        <v>0</v>
      </c>
      <c r="K14" s="219">
        <v>0</v>
      </c>
      <c r="L14" s="219">
        <v>0</v>
      </c>
      <c r="M14" s="219">
        <v>0</v>
      </c>
      <c r="N14" s="45">
        <f t="shared" si="0"/>
        <v>128188</v>
      </c>
      <c r="O14" s="219">
        <v>0</v>
      </c>
    </row>
    <row r="15" spans="1:25">
      <c r="A15" s="119">
        <f t="shared" si="1"/>
        <v>2023</v>
      </c>
      <c r="B15" s="119">
        <f t="shared" si="1"/>
        <v>4</v>
      </c>
      <c r="C15" s="119">
        <f t="shared" si="1"/>
        <v>4</v>
      </c>
      <c r="D15" s="219">
        <v>0</v>
      </c>
      <c r="E15" s="339">
        <v>26952</v>
      </c>
      <c r="F15" s="219">
        <v>73800</v>
      </c>
      <c r="G15" s="219">
        <v>0</v>
      </c>
      <c r="H15" s="219">
        <v>0</v>
      </c>
      <c r="I15" s="219">
        <v>7380</v>
      </c>
      <c r="J15" s="719">
        <v>11725.89</v>
      </c>
      <c r="K15" s="219">
        <v>0</v>
      </c>
      <c r="L15" s="219">
        <v>0</v>
      </c>
      <c r="M15" s="219">
        <v>0</v>
      </c>
      <c r="N15" s="45">
        <f t="shared" si="0"/>
        <v>119857.89</v>
      </c>
      <c r="O15" s="719">
        <v>17588.830000000002</v>
      </c>
    </row>
    <row r="16" spans="1:25">
      <c r="A16" s="119">
        <f t="shared" si="1"/>
        <v>2024</v>
      </c>
      <c r="B16" s="144">
        <f t="shared" si="1"/>
        <v>5</v>
      </c>
      <c r="C16" s="144">
        <f t="shared" si="1"/>
        <v>5</v>
      </c>
      <c r="D16" s="219">
        <v>0</v>
      </c>
      <c r="E16" s="339">
        <f>E15*1.02</f>
        <v>27491.040000000001</v>
      </c>
      <c r="F16" s="219">
        <v>73800</v>
      </c>
      <c r="G16" s="219">
        <v>0</v>
      </c>
      <c r="H16" s="219">
        <v>0</v>
      </c>
      <c r="I16" s="219">
        <v>7380</v>
      </c>
      <c r="J16" s="719">
        <v>11725.89</v>
      </c>
      <c r="K16" s="219">
        <v>0</v>
      </c>
      <c r="L16" s="219">
        <v>0</v>
      </c>
      <c r="M16" s="219">
        <v>0</v>
      </c>
      <c r="N16" s="45">
        <f t="shared" si="0"/>
        <v>120396.93000000001</v>
      </c>
      <c r="O16" s="219">
        <v>0</v>
      </c>
    </row>
    <row r="17" spans="1:15">
      <c r="A17" s="155">
        <f t="shared" si="1"/>
        <v>2025</v>
      </c>
      <c r="B17" s="119">
        <f t="shared" si="1"/>
        <v>6</v>
      </c>
      <c r="C17" s="119">
        <f t="shared" si="1"/>
        <v>6</v>
      </c>
      <c r="D17" s="219">
        <v>0</v>
      </c>
      <c r="E17" s="339">
        <f t="shared" ref="E17:E33" si="2">E16*1.02</f>
        <v>28040.860800000002</v>
      </c>
      <c r="F17" s="219">
        <v>73800</v>
      </c>
      <c r="G17" s="219">
        <v>0</v>
      </c>
      <c r="H17" s="219">
        <v>0</v>
      </c>
      <c r="I17" s="219">
        <v>7380</v>
      </c>
      <c r="J17" s="719">
        <v>11725.89</v>
      </c>
      <c r="K17" s="219">
        <v>0</v>
      </c>
      <c r="L17" s="219">
        <v>0</v>
      </c>
      <c r="M17" s="219">
        <v>0</v>
      </c>
      <c r="N17" s="45">
        <f t="shared" si="0"/>
        <v>120946.75079999999</v>
      </c>
      <c r="O17" s="219">
        <v>0</v>
      </c>
    </row>
    <row r="18" spans="1:15">
      <c r="A18" s="119">
        <f t="shared" si="1"/>
        <v>2026</v>
      </c>
      <c r="B18" s="706">
        <f t="shared" si="1"/>
        <v>7</v>
      </c>
      <c r="C18" s="137">
        <f t="shared" si="1"/>
        <v>7</v>
      </c>
      <c r="D18" s="338">
        <v>4854</v>
      </c>
      <c r="E18" s="339">
        <f t="shared" si="2"/>
        <v>28601.678016000002</v>
      </c>
      <c r="F18" s="709">
        <v>49200</v>
      </c>
      <c r="G18" s="219">
        <v>0</v>
      </c>
      <c r="H18" s="190">
        <v>1768</v>
      </c>
      <c r="I18" s="219">
        <v>7380</v>
      </c>
      <c r="J18" s="719">
        <v>11725.89</v>
      </c>
      <c r="K18" s="219">
        <v>0</v>
      </c>
      <c r="L18" s="219">
        <v>0</v>
      </c>
      <c r="M18" s="219">
        <v>0</v>
      </c>
      <c r="N18" s="45">
        <f t="shared" si="0"/>
        <v>103529.568016</v>
      </c>
      <c r="O18" s="219">
        <v>0</v>
      </c>
    </row>
    <row r="19" spans="1:15">
      <c r="A19" s="119">
        <f t="shared" si="1"/>
        <v>2027</v>
      </c>
      <c r="B19" s="119">
        <f t="shared" si="1"/>
        <v>8</v>
      </c>
      <c r="C19" s="119">
        <f t="shared" si="1"/>
        <v>8</v>
      </c>
      <c r="D19" s="338">
        <v>29124</v>
      </c>
      <c r="E19" s="339">
        <f t="shared" si="2"/>
        <v>29173.711576320002</v>
      </c>
      <c r="F19" s="219">
        <v>0</v>
      </c>
      <c r="G19" s="219">
        <v>0</v>
      </c>
      <c r="H19" s="219">
        <v>10608</v>
      </c>
      <c r="I19" s="219">
        <v>7380</v>
      </c>
      <c r="J19" s="719">
        <v>11725.89</v>
      </c>
      <c r="K19" s="719">
        <v>7487.9</v>
      </c>
      <c r="L19" s="719">
        <v>22463.69</v>
      </c>
      <c r="M19" s="219">
        <v>0</v>
      </c>
      <c r="N19" s="708">
        <f t="shared" si="0"/>
        <v>117963.19157631999</v>
      </c>
      <c r="O19" s="719">
        <v>44927.39</v>
      </c>
    </row>
    <row r="20" spans="1:15">
      <c r="A20" s="119">
        <f t="shared" si="1"/>
        <v>2028</v>
      </c>
      <c r="B20" s="119">
        <f t="shared" si="1"/>
        <v>9</v>
      </c>
      <c r="C20" s="119">
        <f t="shared" si="1"/>
        <v>9</v>
      </c>
      <c r="D20" s="338">
        <f>D19*1.02</f>
        <v>29706.48</v>
      </c>
      <c r="E20" s="339">
        <f t="shared" si="2"/>
        <v>29757.185807846403</v>
      </c>
      <c r="F20" s="219">
        <v>0</v>
      </c>
      <c r="G20" s="219">
        <v>0</v>
      </c>
      <c r="H20" s="219">
        <v>10608</v>
      </c>
      <c r="I20" s="219">
        <v>7380</v>
      </c>
      <c r="J20" s="719">
        <v>11725.89</v>
      </c>
      <c r="K20" s="719">
        <v>7487.9</v>
      </c>
      <c r="L20" s="719">
        <v>22463.69</v>
      </c>
      <c r="M20" s="219">
        <v>0</v>
      </c>
      <c r="N20" s="45">
        <f t="shared" si="0"/>
        <v>119129.14580784641</v>
      </c>
      <c r="O20" s="219">
        <v>0</v>
      </c>
    </row>
    <row r="21" spans="1:15">
      <c r="A21" s="119">
        <f t="shared" si="1"/>
        <v>2029</v>
      </c>
      <c r="B21" s="119">
        <f t="shared" si="1"/>
        <v>10</v>
      </c>
      <c r="C21" s="119">
        <f t="shared" si="1"/>
        <v>10</v>
      </c>
      <c r="D21" s="338">
        <f t="shared" ref="D21:D38" si="3">D20*1.02</f>
        <v>30300.6096</v>
      </c>
      <c r="E21" s="339">
        <f t="shared" si="2"/>
        <v>30352.329524003333</v>
      </c>
      <c r="F21" s="219">
        <v>0</v>
      </c>
      <c r="G21" s="219">
        <v>0</v>
      </c>
      <c r="H21" s="219">
        <v>10608</v>
      </c>
      <c r="I21" s="219">
        <v>7380</v>
      </c>
      <c r="J21" s="719">
        <v>11725.89</v>
      </c>
      <c r="K21" s="719">
        <v>7487.9</v>
      </c>
      <c r="L21" s="719">
        <v>22463.69</v>
      </c>
      <c r="M21" s="219">
        <v>0</v>
      </c>
      <c r="N21" s="45">
        <f t="shared" si="0"/>
        <v>120318.41912400333</v>
      </c>
      <c r="O21" s="219">
        <v>0</v>
      </c>
    </row>
    <row r="22" spans="1:15">
      <c r="A22" s="119">
        <f t="shared" si="1"/>
        <v>2030</v>
      </c>
      <c r="B22" s="119">
        <f t="shared" si="1"/>
        <v>11</v>
      </c>
      <c r="C22" s="119">
        <f t="shared" si="1"/>
        <v>11</v>
      </c>
      <c r="D22" s="338">
        <f t="shared" si="3"/>
        <v>30906.621792000002</v>
      </c>
      <c r="E22" s="339">
        <f t="shared" si="2"/>
        <v>30959.376114483399</v>
      </c>
      <c r="F22" s="219">
        <v>0</v>
      </c>
      <c r="G22" s="219">
        <v>0</v>
      </c>
      <c r="H22" s="219">
        <v>10608</v>
      </c>
      <c r="I22" s="219">
        <v>7380</v>
      </c>
      <c r="J22" s="719">
        <v>11725.89</v>
      </c>
      <c r="K22" s="719">
        <v>7487.9</v>
      </c>
      <c r="L22" s="719">
        <v>22463.69</v>
      </c>
      <c r="M22" s="219">
        <v>0</v>
      </c>
      <c r="N22" s="45">
        <f t="shared" si="0"/>
        <v>121531.4779064834</v>
      </c>
      <c r="O22" s="219">
        <v>0</v>
      </c>
    </row>
    <row r="23" spans="1:15">
      <c r="A23" s="119">
        <f t="shared" si="1"/>
        <v>2031</v>
      </c>
      <c r="B23" s="119">
        <f t="shared" si="1"/>
        <v>12</v>
      </c>
      <c r="C23" s="119">
        <f t="shared" si="1"/>
        <v>12</v>
      </c>
      <c r="D23" s="338">
        <f t="shared" si="3"/>
        <v>31524.754227840003</v>
      </c>
      <c r="E23" s="339">
        <f t="shared" si="2"/>
        <v>31578.563636773066</v>
      </c>
      <c r="F23" s="219">
        <v>0</v>
      </c>
      <c r="G23" s="219">
        <v>0</v>
      </c>
      <c r="H23" s="219">
        <v>10608</v>
      </c>
      <c r="I23" s="219">
        <v>7380</v>
      </c>
      <c r="J23" s="719">
        <v>11725.89</v>
      </c>
      <c r="K23" s="719">
        <v>7487.9</v>
      </c>
      <c r="L23" s="719">
        <v>22463.69</v>
      </c>
      <c r="M23" s="219">
        <v>0</v>
      </c>
      <c r="N23" s="45">
        <f t="shared" si="0"/>
        <v>122768.79786461307</v>
      </c>
      <c r="O23" s="219">
        <v>0</v>
      </c>
    </row>
    <row r="24" spans="1:15">
      <c r="A24" s="119">
        <f t="shared" si="1"/>
        <v>2032</v>
      </c>
      <c r="B24" s="119">
        <f t="shared" si="1"/>
        <v>13</v>
      </c>
      <c r="C24" s="119">
        <f t="shared" si="1"/>
        <v>13</v>
      </c>
      <c r="D24" s="338">
        <f t="shared" si="3"/>
        <v>32155.249312396805</v>
      </c>
      <c r="E24" s="339">
        <f t="shared" si="2"/>
        <v>32210.134909508528</v>
      </c>
      <c r="F24" s="219">
        <v>0</v>
      </c>
      <c r="G24" s="219">
        <v>0</v>
      </c>
      <c r="H24" s="219">
        <v>10608</v>
      </c>
      <c r="I24" s="219">
        <v>7380</v>
      </c>
      <c r="J24" s="719">
        <v>11725.89</v>
      </c>
      <c r="K24" s="719">
        <v>7487.9</v>
      </c>
      <c r="L24" s="719">
        <v>22463.69</v>
      </c>
      <c r="M24" s="219">
        <v>0</v>
      </c>
      <c r="N24" s="45">
        <f t="shared" si="0"/>
        <v>124030.86422190533</v>
      </c>
      <c r="O24" s="219">
        <v>0</v>
      </c>
    </row>
    <row r="25" spans="1:15">
      <c r="A25" s="119">
        <f t="shared" si="1"/>
        <v>2033</v>
      </c>
      <c r="B25" s="119">
        <f t="shared" si="1"/>
        <v>14</v>
      </c>
      <c r="C25" s="119">
        <f t="shared" si="1"/>
        <v>14</v>
      </c>
      <c r="D25" s="338">
        <f t="shared" si="3"/>
        <v>32798.354298644743</v>
      </c>
      <c r="E25" s="339">
        <f t="shared" si="2"/>
        <v>32854.337607698697</v>
      </c>
      <c r="F25" s="219">
        <v>0</v>
      </c>
      <c r="G25" s="219">
        <v>0</v>
      </c>
      <c r="H25" s="219">
        <v>10608</v>
      </c>
      <c r="I25" s="219">
        <v>7380</v>
      </c>
      <c r="J25" s="719">
        <v>11725.89</v>
      </c>
      <c r="K25" s="719">
        <v>7487.9</v>
      </c>
      <c r="L25" s="719">
        <v>22463.69</v>
      </c>
      <c r="M25" s="219">
        <v>0</v>
      </c>
      <c r="N25" s="45">
        <f t="shared" si="0"/>
        <v>125318.17190634344</v>
      </c>
      <c r="O25" s="219">
        <v>0</v>
      </c>
    </row>
    <row r="26" spans="1:15">
      <c r="A26" s="155">
        <f t="shared" si="1"/>
        <v>2034</v>
      </c>
      <c r="B26" s="119">
        <f t="shared" si="1"/>
        <v>15</v>
      </c>
      <c r="C26" s="221">
        <f t="shared" si="1"/>
        <v>15</v>
      </c>
      <c r="D26" s="338">
        <f t="shared" si="3"/>
        <v>33454.321384617637</v>
      </c>
      <c r="E26" s="339">
        <f t="shared" si="2"/>
        <v>33511.424359852674</v>
      </c>
      <c r="F26" s="219">
        <v>0</v>
      </c>
      <c r="G26" s="219">
        <v>0</v>
      </c>
      <c r="H26" s="219">
        <v>10608</v>
      </c>
      <c r="I26" s="219">
        <v>7380</v>
      </c>
      <c r="J26" s="719">
        <v>11725.89</v>
      </c>
      <c r="K26" s="719">
        <v>7487.9</v>
      </c>
      <c r="L26" s="719">
        <v>22463.69</v>
      </c>
      <c r="M26" s="219">
        <v>0</v>
      </c>
      <c r="N26" s="45">
        <f t="shared" si="0"/>
        <v>126631.2257444703</v>
      </c>
      <c r="O26" s="219">
        <v>0</v>
      </c>
    </row>
    <row r="27" spans="1:15">
      <c r="A27" s="119">
        <f t="shared" si="1"/>
        <v>2035</v>
      </c>
      <c r="B27" s="137">
        <f t="shared" si="1"/>
        <v>16</v>
      </c>
      <c r="C27" s="119">
        <f t="shared" si="1"/>
        <v>16</v>
      </c>
      <c r="D27" s="338">
        <f t="shared" si="3"/>
        <v>34123.40781230999</v>
      </c>
      <c r="E27" s="339">
        <f t="shared" si="2"/>
        <v>34181.652847049729</v>
      </c>
      <c r="F27" s="219">
        <v>0</v>
      </c>
      <c r="G27" s="219">
        <v>0</v>
      </c>
      <c r="H27" s="219">
        <v>10608</v>
      </c>
      <c r="I27" s="219">
        <v>7380</v>
      </c>
      <c r="J27" s="719">
        <v>11725.89</v>
      </c>
      <c r="K27" s="719">
        <v>7487.9</v>
      </c>
      <c r="L27" s="719">
        <v>22463.69</v>
      </c>
      <c r="M27" s="219">
        <v>0</v>
      </c>
      <c r="N27" s="45">
        <f t="shared" si="0"/>
        <v>127970.54065935971</v>
      </c>
      <c r="O27" s="219">
        <v>0</v>
      </c>
    </row>
    <row r="28" spans="1:15">
      <c r="A28" s="119">
        <f t="shared" ref="A28:C38" si="4">A27+1</f>
        <v>2036</v>
      </c>
      <c r="B28" s="119">
        <f t="shared" si="4"/>
        <v>17</v>
      </c>
      <c r="C28" s="119">
        <f t="shared" si="4"/>
        <v>17</v>
      </c>
      <c r="D28" s="338">
        <f t="shared" si="3"/>
        <v>34805.875968556189</v>
      </c>
      <c r="E28" s="339">
        <f t="shared" si="2"/>
        <v>34865.285903990727</v>
      </c>
      <c r="F28" s="219">
        <v>0</v>
      </c>
      <c r="G28" s="219">
        <v>0</v>
      </c>
      <c r="H28" s="219">
        <v>10608</v>
      </c>
      <c r="I28" s="219">
        <v>7380</v>
      </c>
      <c r="J28" s="719">
        <v>11725.89</v>
      </c>
      <c r="K28" s="719">
        <v>7487.9</v>
      </c>
      <c r="L28" s="719">
        <v>22463.69</v>
      </c>
      <c r="M28" s="219">
        <v>0</v>
      </c>
      <c r="N28" s="45">
        <f t="shared" si="0"/>
        <v>129336.64187254691</v>
      </c>
      <c r="O28" s="219">
        <v>0</v>
      </c>
    </row>
    <row r="29" spans="1:15">
      <c r="A29" s="119">
        <f t="shared" si="4"/>
        <v>2037</v>
      </c>
      <c r="B29" s="119">
        <f t="shared" si="4"/>
        <v>18</v>
      </c>
      <c r="C29" s="119">
        <f t="shared" si="4"/>
        <v>18</v>
      </c>
      <c r="D29" s="338">
        <f t="shared" si="3"/>
        <v>35501.993487927313</v>
      </c>
      <c r="E29" s="339">
        <f t="shared" si="2"/>
        <v>35562.59162207054</v>
      </c>
      <c r="F29" s="219">
        <v>0</v>
      </c>
      <c r="G29" s="219">
        <v>0</v>
      </c>
      <c r="H29" s="219">
        <v>10608</v>
      </c>
      <c r="I29" s="219">
        <v>7380</v>
      </c>
      <c r="J29" s="719">
        <v>11725.89</v>
      </c>
      <c r="K29" s="719">
        <v>7487.9</v>
      </c>
      <c r="L29" s="719">
        <v>22463.69</v>
      </c>
      <c r="M29" s="219">
        <v>0</v>
      </c>
      <c r="N29" s="45">
        <f t="shared" si="0"/>
        <v>130730.06510999786</v>
      </c>
      <c r="O29" s="219">
        <v>0</v>
      </c>
    </row>
    <row r="30" spans="1:15">
      <c r="A30" s="119">
        <f t="shared" si="4"/>
        <v>2038</v>
      </c>
      <c r="B30" s="119">
        <f t="shared" si="4"/>
        <v>19</v>
      </c>
      <c r="C30" s="119">
        <f t="shared" si="4"/>
        <v>19</v>
      </c>
      <c r="D30" s="338">
        <f t="shared" si="3"/>
        <v>36212.033357685861</v>
      </c>
      <c r="E30" s="339">
        <f t="shared" si="2"/>
        <v>36273.843454511953</v>
      </c>
      <c r="F30" s="219">
        <v>0</v>
      </c>
      <c r="G30" s="219">
        <v>0</v>
      </c>
      <c r="H30" s="219">
        <v>10608</v>
      </c>
      <c r="I30" s="219">
        <v>7380</v>
      </c>
      <c r="J30" s="719">
        <v>11725.89</v>
      </c>
      <c r="K30" s="719">
        <v>7487.9</v>
      </c>
      <c r="L30" s="719">
        <v>22463.69</v>
      </c>
      <c r="M30" s="219">
        <v>0</v>
      </c>
      <c r="N30" s="45">
        <f t="shared" si="0"/>
        <v>132151.3568121978</v>
      </c>
      <c r="O30" s="219">
        <v>0</v>
      </c>
    </row>
    <row r="31" spans="1:15">
      <c r="A31" s="119">
        <f t="shared" si="4"/>
        <v>2039</v>
      </c>
      <c r="B31" s="119">
        <f t="shared" si="4"/>
        <v>20</v>
      </c>
      <c r="C31" s="119">
        <f t="shared" si="4"/>
        <v>20</v>
      </c>
      <c r="D31" s="338">
        <f t="shared" si="3"/>
        <v>36936.274024839578</v>
      </c>
      <c r="E31" s="339">
        <f t="shared" si="2"/>
        <v>36999.320323602195</v>
      </c>
      <c r="F31" s="219">
        <v>0</v>
      </c>
      <c r="G31" s="219">
        <v>0</v>
      </c>
      <c r="H31" s="219">
        <v>10608</v>
      </c>
      <c r="I31" s="219">
        <v>7380</v>
      </c>
      <c r="J31" s="719">
        <v>11725.89</v>
      </c>
      <c r="K31" s="719">
        <v>7487.9</v>
      </c>
      <c r="L31" s="719">
        <v>22463.69</v>
      </c>
      <c r="M31" s="219">
        <v>0</v>
      </c>
      <c r="N31" s="45">
        <f t="shared" si="0"/>
        <v>133601.07434844176</v>
      </c>
      <c r="O31" s="219">
        <v>0</v>
      </c>
    </row>
    <row r="32" spans="1:15">
      <c r="A32" s="119">
        <f t="shared" si="4"/>
        <v>2040</v>
      </c>
      <c r="B32" s="119">
        <f t="shared" si="4"/>
        <v>21</v>
      </c>
      <c r="C32" s="119">
        <f t="shared" si="4"/>
        <v>21</v>
      </c>
      <c r="D32" s="338">
        <f t="shared" si="3"/>
        <v>37674.999505336367</v>
      </c>
      <c r="E32" s="339">
        <f t="shared" si="2"/>
        <v>37739.30673007424</v>
      </c>
      <c r="F32" s="219">
        <v>0</v>
      </c>
      <c r="G32" s="219">
        <v>0</v>
      </c>
      <c r="H32" s="219">
        <v>10608</v>
      </c>
      <c r="I32" s="219">
        <v>7380</v>
      </c>
      <c r="J32" s="719">
        <v>11725.89</v>
      </c>
      <c r="K32" s="719">
        <v>7487.9</v>
      </c>
      <c r="L32" s="719">
        <v>22463.69</v>
      </c>
      <c r="M32" s="219">
        <v>0</v>
      </c>
      <c r="N32" s="45">
        <f t="shared" si="0"/>
        <v>135079.7862354106</v>
      </c>
      <c r="O32" s="219">
        <v>0</v>
      </c>
    </row>
    <row r="33" spans="1:25">
      <c r="A33" s="119">
        <f t="shared" si="4"/>
        <v>2041</v>
      </c>
      <c r="B33" s="119">
        <f t="shared" si="4"/>
        <v>22</v>
      </c>
      <c r="C33" s="119">
        <f t="shared" si="4"/>
        <v>22</v>
      </c>
      <c r="D33" s="338">
        <f t="shared" si="3"/>
        <v>38428.499495443095</v>
      </c>
      <c r="E33" s="339">
        <f t="shared" si="2"/>
        <v>38494.092864675724</v>
      </c>
      <c r="F33" s="219">
        <v>0</v>
      </c>
      <c r="G33" s="219">
        <v>0</v>
      </c>
      <c r="H33" s="219">
        <v>10608</v>
      </c>
      <c r="I33" s="190">
        <v>7380</v>
      </c>
      <c r="J33" s="719">
        <v>11725.89</v>
      </c>
      <c r="K33" s="719">
        <v>7487.9</v>
      </c>
      <c r="L33" s="719">
        <v>22463.69</v>
      </c>
      <c r="M33" s="219">
        <v>0</v>
      </c>
      <c r="N33" s="613">
        <f t="shared" si="0"/>
        <v>136588.07236011879</v>
      </c>
      <c r="O33" s="219">
        <v>0</v>
      </c>
    </row>
    <row r="34" spans="1:25">
      <c r="A34" s="119">
        <f t="shared" si="4"/>
        <v>2042</v>
      </c>
      <c r="B34" s="119">
        <f t="shared" si="4"/>
        <v>23</v>
      </c>
      <c r="C34" s="341">
        <f t="shared" si="4"/>
        <v>23</v>
      </c>
      <c r="D34" s="338">
        <f t="shared" si="3"/>
        <v>39197.06948535196</v>
      </c>
      <c r="E34" s="339">
        <v>0</v>
      </c>
      <c r="F34" s="219">
        <v>0</v>
      </c>
      <c r="G34" s="219">
        <v>0</v>
      </c>
      <c r="H34" s="338">
        <v>10608</v>
      </c>
      <c r="I34" s="339">
        <v>3690</v>
      </c>
      <c r="J34" s="719">
        <v>11725.89</v>
      </c>
      <c r="K34" s="719">
        <v>7487.9</v>
      </c>
      <c r="L34" s="719">
        <v>22463.69</v>
      </c>
      <c r="M34" s="219">
        <v>0</v>
      </c>
      <c r="N34" s="340">
        <f t="shared" si="0"/>
        <v>95172.549485351963</v>
      </c>
      <c r="O34" s="219">
        <v>0</v>
      </c>
    </row>
    <row r="35" spans="1:25">
      <c r="A35" s="119">
        <f t="shared" si="4"/>
        <v>2043</v>
      </c>
      <c r="B35" s="119">
        <f t="shared" si="4"/>
        <v>24</v>
      </c>
      <c r="C35" s="119">
        <f t="shared" si="4"/>
        <v>24</v>
      </c>
      <c r="D35" s="338">
        <f t="shared" si="3"/>
        <v>39981.010875059001</v>
      </c>
      <c r="E35" s="219">
        <v>0</v>
      </c>
      <c r="F35" s="219">
        <v>0</v>
      </c>
      <c r="G35" s="219">
        <v>0</v>
      </c>
      <c r="H35" s="219">
        <v>10608</v>
      </c>
      <c r="I35" s="219">
        <v>3690</v>
      </c>
      <c r="J35" s="719">
        <v>11725.89</v>
      </c>
      <c r="K35" s="719">
        <v>7487.9</v>
      </c>
      <c r="L35" s="719">
        <v>22463.69</v>
      </c>
      <c r="M35" s="219">
        <v>0</v>
      </c>
      <c r="N35" s="45">
        <f t="shared" si="0"/>
        <v>95956.490875058997</v>
      </c>
      <c r="O35" s="219">
        <v>0</v>
      </c>
    </row>
    <row r="36" spans="1:25">
      <c r="A36" s="119">
        <f t="shared" si="4"/>
        <v>2044</v>
      </c>
      <c r="B36" s="119">
        <f t="shared" si="4"/>
        <v>25</v>
      </c>
      <c r="C36" s="119">
        <f t="shared" si="4"/>
        <v>25</v>
      </c>
      <c r="D36" s="338">
        <f t="shared" si="3"/>
        <v>40780.631092560179</v>
      </c>
      <c r="E36" s="219">
        <v>0</v>
      </c>
      <c r="F36" s="219">
        <v>0</v>
      </c>
      <c r="G36" s="219">
        <v>0</v>
      </c>
      <c r="H36" s="219">
        <v>10608</v>
      </c>
      <c r="I36" s="219">
        <v>3690</v>
      </c>
      <c r="J36" s="719">
        <v>11725.89</v>
      </c>
      <c r="K36" s="719">
        <v>7487.9</v>
      </c>
      <c r="L36" s="719">
        <v>22463.69</v>
      </c>
      <c r="M36" s="219">
        <v>0</v>
      </c>
      <c r="N36" s="45">
        <f t="shared" si="0"/>
        <v>96756.111092560168</v>
      </c>
      <c r="O36" s="219">
        <v>0</v>
      </c>
    </row>
    <row r="37" spans="1:25">
      <c r="A37" s="119">
        <f t="shared" si="4"/>
        <v>2045</v>
      </c>
      <c r="B37" s="119">
        <f t="shared" si="4"/>
        <v>26</v>
      </c>
      <c r="C37" s="119">
        <f t="shared" si="4"/>
        <v>26</v>
      </c>
      <c r="D37" s="338">
        <f t="shared" si="3"/>
        <v>41596.243714411386</v>
      </c>
      <c r="E37" s="219">
        <v>0</v>
      </c>
      <c r="F37" s="219">
        <v>0</v>
      </c>
      <c r="G37" s="219">
        <v>0</v>
      </c>
      <c r="H37" s="219">
        <v>10608</v>
      </c>
      <c r="I37" s="219">
        <v>3690</v>
      </c>
      <c r="J37" s="719">
        <v>11725.89</v>
      </c>
      <c r="K37" s="719">
        <v>7487.9</v>
      </c>
      <c r="L37" s="719">
        <v>22463.69</v>
      </c>
      <c r="M37" s="219">
        <v>0</v>
      </c>
      <c r="N37" s="45">
        <f t="shared" si="0"/>
        <v>97571.723714411375</v>
      </c>
      <c r="O37" s="219">
        <v>0</v>
      </c>
    </row>
    <row r="38" spans="1:25">
      <c r="A38" s="137">
        <f t="shared" si="4"/>
        <v>2046</v>
      </c>
      <c r="B38" s="137">
        <f t="shared" si="4"/>
        <v>27</v>
      </c>
      <c r="C38" s="137">
        <f t="shared" si="4"/>
        <v>27</v>
      </c>
      <c r="D38" s="338">
        <f t="shared" si="3"/>
        <v>42428.168588699613</v>
      </c>
      <c r="E38" s="219">
        <v>0</v>
      </c>
      <c r="F38" s="219">
        <v>0</v>
      </c>
      <c r="G38" s="219">
        <v>0</v>
      </c>
      <c r="H38" s="219">
        <v>10608</v>
      </c>
      <c r="I38" s="219">
        <v>3690</v>
      </c>
      <c r="J38" s="719">
        <v>11725.89</v>
      </c>
      <c r="K38" s="719">
        <v>7487.9</v>
      </c>
      <c r="L38" s="719">
        <v>22463.69</v>
      </c>
      <c r="M38" s="219">
        <v>0</v>
      </c>
      <c r="N38" s="45">
        <f t="shared" si="0"/>
        <v>98403.648588699609</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4" tint="-0.49995422223578601"/>
  </sheetPr>
  <dimension ref="A1:S74"/>
  <sheetViews>
    <sheetView showGridLines="0" workbookViewId="0"/>
  </sheetViews>
  <sheetFormatPr defaultColWidth="9.125" defaultRowHeight="12.45"/>
  <cols>
    <col min="1" max="2" width="17.625" customWidth="1"/>
    <col min="3" max="3" width="18.125" customWidth="1"/>
    <col min="10" max="10" width="22" customWidth="1"/>
    <col min="11" max="11" width="20.625" customWidth="1"/>
    <col min="12" max="12" width="22" customWidth="1"/>
    <col min="13" max="13" width="18.625" customWidth="1"/>
  </cols>
  <sheetData>
    <row r="1" spans="1:19" ht="24.25">
      <c r="A1" s="135" t="s">
        <v>72</v>
      </c>
      <c r="B1" s="134" t="s">
        <v>73</v>
      </c>
      <c r="C1" s="133" t="s">
        <v>74</v>
      </c>
      <c r="D1" s="1995" t="s">
        <v>631</v>
      </c>
      <c r="E1" s="1996"/>
      <c r="F1" s="1996"/>
      <c r="G1" s="1996"/>
      <c r="H1" s="1996"/>
      <c r="I1" s="1996"/>
      <c r="J1" s="1996"/>
      <c r="K1" s="1996"/>
      <c r="L1" s="1996"/>
      <c r="M1" s="1996"/>
    </row>
    <row r="2" spans="1:19" ht="18.350000000000001">
      <c r="A2" s="296">
        <v>233477.58</v>
      </c>
      <c r="B2" s="298">
        <v>600000</v>
      </c>
      <c r="C2" s="297">
        <v>181153</v>
      </c>
      <c r="D2" s="1586"/>
      <c r="E2" s="1586"/>
      <c r="F2" s="1586"/>
      <c r="G2" s="1586"/>
      <c r="H2" s="1586"/>
      <c r="I2" s="1586"/>
      <c r="J2" s="1586"/>
      <c r="K2" s="1586"/>
      <c r="L2" s="1586"/>
      <c r="M2" s="1586"/>
    </row>
    <row r="3" spans="1:19" ht="26.2">
      <c r="A3" s="34"/>
      <c r="B3" s="118"/>
      <c r="C3" s="35"/>
      <c r="D3" s="1997" t="s">
        <v>632</v>
      </c>
      <c r="E3" s="1998"/>
      <c r="F3" s="1998"/>
      <c r="G3" s="1998"/>
      <c r="H3" s="1998"/>
      <c r="I3" s="1998"/>
      <c r="J3" s="647">
        <f>'Egan Asset Summary'!O3</f>
        <v>0</v>
      </c>
      <c r="K3" s="2000" t="s">
        <v>633</v>
      </c>
      <c r="L3" s="2001"/>
      <c r="M3" s="2001"/>
    </row>
    <row r="4" spans="1:19" ht="20.3">
      <c r="A4" s="34"/>
      <c r="B4" s="118"/>
      <c r="C4" s="35"/>
      <c r="E4" s="75"/>
      <c r="F4" s="75"/>
      <c r="G4" s="75"/>
      <c r="I4" s="1591"/>
      <c r="J4" s="1591"/>
      <c r="K4" s="1591"/>
      <c r="L4" s="1591"/>
      <c r="M4" s="1591"/>
    </row>
    <row r="5" spans="1:19" ht="24.25">
      <c r="A5" s="34"/>
      <c r="B5" s="118"/>
      <c r="C5" s="35"/>
      <c r="E5" s="75"/>
      <c r="F5" s="75"/>
      <c r="G5" s="75"/>
      <c r="I5" s="1990" t="s">
        <v>634</v>
      </c>
      <c r="J5" s="1990"/>
      <c r="K5" s="1990"/>
      <c r="L5" s="1990"/>
      <c r="M5" s="1990"/>
      <c r="O5" s="725"/>
      <c r="P5" s="726"/>
      <c r="Q5" s="726"/>
      <c r="R5" s="726"/>
      <c r="S5" s="727"/>
    </row>
    <row r="6" spans="1:19" ht="20.3">
      <c r="I6" s="1572"/>
      <c r="J6" s="1572"/>
      <c r="K6" s="232" t="s">
        <v>405</v>
      </c>
      <c r="L6" s="685" t="s">
        <v>406</v>
      </c>
      <c r="M6" s="673"/>
      <c r="O6" s="725"/>
      <c r="P6" s="727"/>
      <c r="S6" s="728"/>
    </row>
    <row r="7" spans="1:19" ht="18.350000000000001">
      <c r="I7" s="320" t="s">
        <v>83</v>
      </c>
      <c r="J7" s="236">
        <f>J3</f>
        <v>0</v>
      </c>
      <c r="K7" s="236">
        <f>J3</f>
        <v>0</v>
      </c>
      <c r="L7" s="236">
        <f>J3</f>
        <v>0</v>
      </c>
      <c r="M7" s="672"/>
      <c r="O7" s="724"/>
      <c r="P7" s="728"/>
      <c r="S7" s="728"/>
    </row>
    <row r="8" spans="1:19" ht="23.6">
      <c r="I8" s="238" t="s">
        <v>84</v>
      </c>
      <c r="J8" s="682">
        <f>'No Plan Recap'!J16</f>
        <v>40420.221552223491</v>
      </c>
      <c r="K8" s="681">
        <f>'No Plan Recap'!K16</f>
        <v>45000</v>
      </c>
      <c r="L8" s="684" t="e">
        <f>'No Plan Recap'!L16</f>
        <v>#REF!</v>
      </c>
      <c r="M8" s="674" t="s">
        <v>85</v>
      </c>
      <c r="O8" s="724"/>
      <c r="P8" s="728"/>
      <c r="Q8" s="723"/>
      <c r="R8" s="724"/>
      <c r="S8" s="728"/>
    </row>
    <row r="9" spans="1:19" ht="18" customHeight="1">
      <c r="I9" s="634" t="s">
        <v>86</v>
      </c>
      <c r="J9" s="678">
        <f>J7-J8</f>
        <v>-40420.221552223491</v>
      </c>
      <c r="K9" s="677">
        <f>K7-K8</f>
        <v>-45000</v>
      </c>
      <c r="L9" s="677" t="e">
        <f>L7-L8</f>
        <v>#REF!</v>
      </c>
      <c r="M9" s="674" t="s">
        <v>87</v>
      </c>
      <c r="O9" s="724"/>
      <c r="P9" s="728"/>
      <c r="S9" s="728"/>
    </row>
    <row r="10" spans="1:19" ht="17.55" customHeight="1">
      <c r="I10" s="635" t="s">
        <v>88</v>
      </c>
      <c r="J10" s="71" t="s">
        <v>96</v>
      </c>
      <c r="K10" s="670" t="s">
        <v>89</v>
      </c>
      <c r="L10" s="670" t="s">
        <v>89</v>
      </c>
      <c r="M10" s="349"/>
      <c r="O10" s="724"/>
      <c r="P10" s="728"/>
      <c r="S10" s="728"/>
    </row>
    <row r="11" spans="1:19" ht="24.25">
      <c r="I11" s="1991" t="s">
        <v>635</v>
      </c>
      <c r="J11" s="1991"/>
      <c r="K11" s="1991"/>
      <c r="L11" s="1991"/>
      <c r="M11" s="1991"/>
      <c r="O11" s="724"/>
      <c r="P11" s="728"/>
      <c r="S11" s="728"/>
    </row>
    <row r="12" spans="1:19" ht="23.6">
      <c r="I12" s="716"/>
      <c r="J12" s="355"/>
      <c r="K12" s="731">
        <f>'No Plan Recap'!K20</f>
        <v>40420.221552223491</v>
      </c>
      <c r="L12" s="355"/>
      <c r="M12" s="673"/>
      <c r="O12" s="724"/>
      <c r="P12" s="728"/>
      <c r="S12" s="728"/>
    </row>
    <row r="13" spans="1:19" ht="17.7">
      <c r="I13" s="1730"/>
      <c r="J13" s="1730"/>
      <c r="K13" s="1730"/>
      <c r="L13" s="1730"/>
      <c r="M13" s="1730"/>
    </row>
    <row r="14" spans="1:19" ht="24.25">
      <c r="I14" s="1992" t="s">
        <v>636</v>
      </c>
      <c r="J14" s="1992"/>
      <c r="K14" s="1992"/>
      <c r="L14" s="1992"/>
      <c r="M14" s="1992"/>
    </row>
    <row r="15" spans="1:19" ht="20.3">
      <c r="I15" s="1993"/>
      <c r="J15" s="1993"/>
      <c r="K15" s="232" t="s">
        <v>405</v>
      </c>
      <c r="L15" s="685" t="s">
        <v>406</v>
      </c>
      <c r="M15" s="747" t="s">
        <v>93</v>
      </c>
    </row>
    <row r="16" spans="1:19" ht="18.350000000000001">
      <c r="I16" s="320" t="s">
        <v>83</v>
      </c>
      <c r="J16" s="236">
        <f>J3</f>
        <v>0</v>
      </c>
      <c r="K16" s="236">
        <f>J3</f>
        <v>0</v>
      </c>
      <c r="L16" s="236">
        <f>J3</f>
        <v>0</v>
      </c>
      <c r="M16" s="748" t="s">
        <v>94</v>
      </c>
    </row>
    <row r="17" spans="9:19" ht="23.6">
      <c r="I17" s="238" t="s">
        <v>84</v>
      </c>
      <c r="J17" s="682" t="e">
        <f>'[5] Hedge Plan B Joint '!N15</f>
        <v>#REF!</v>
      </c>
      <c r="K17" s="681" t="e">
        <f>'[6] Hedge Plan B Marys Survival '!N34</f>
        <v>#REF!</v>
      </c>
      <c r="L17" s="684" t="e">
        <f>'[7] Hedge Plan B Gregs Survival'!N34</f>
        <v>#REF!</v>
      </c>
      <c r="M17" s="749" t="s">
        <v>95</v>
      </c>
    </row>
    <row r="18" spans="9:19" ht="17.7">
      <c r="I18" s="634" t="s">
        <v>86</v>
      </c>
      <c r="J18" s="678" t="e">
        <f>J16-J17</f>
        <v>#REF!</v>
      </c>
      <c r="K18" s="721" t="e">
        <f>K16-K17</f>
        <v>#REF!</v>
      </c>
      <c r="L18" s="721" t="e">
        <f>L16-L17</f>
        <v>#REF!</v>
      </c>
      <c r="M18" s="750" t="e">
        <f>'[5] Hedge Plan B Joint '!O15</f>
        <v>#REF!</v>
      </c>
      <c r="O18" s="729"/>
      <c r="P18" s="730"/>
      <c r="Q18" s="723"/>
      <c r="R18" s="723"/>
      <c r="S18" s="730"/>
    </row>
    <row r="19" spans="9:19" ht="14.25" customHeight="1">
      <c r="I19" s="635" t="s">
        <v>88</v>
      </c>
      <c r="J19" s="71" t="s">
        <v>96</v>
      </c>
      <c r="K19" s="71" t="s">
        <v>96</v>
      </c>
      <c r="L19" s="71" t="s">
        <v>96</v>
      </c>
      <c r="M19" s="751" t="s">
        <v>97</v>
      </c>
      <c r="O19" s="724"/>
      <c r="P19" s="728"/>
    </row>
    <row r="20" spans="9:19" ht="24.25">
      <c r="I20" s="1994" t="s">
        <v>637</v>
      </c>
      <c r="J20" s="1994"/>
      <c r="K20" s="1994"/>
      <c r="L20" s="1994"/>
      <c r="M20" s="1994"/>
      <c r="O20" s="724"/>
      <c r="P20" s="728"/>
    </row>
    <row r="21" spans="9:19" ht="23.6">
      <c r="I21" s="734"/>
      <c r="J21" s="733"/>
      <c r="K21" s="731" t="e">
        <f>J17</f>
        <v>#REF!</v>
      </c>
      <c r="L21" s="733"/>
      <c r="M21" s="735"/>
      <c r="O21" s="724"/>
      <c r="P21" s="728"/>
    </row>
    <row r="22" spans="9:19" ht="17.7">
      <c r="I22" s="1999"/>
      <c r="J22" s="1999"/>
      <c r="K22" s="1999"/>
      <c r="L22" s="1999"/>
      <c r="M22" s="1999"/>
      <c r="O22" s="724"/>
      <c r="P22" s="728"/>
    </row>
    <row r="23" spans="9:19" ht="24.25">
      <c r="I23" s="1992" t="s">
        <v>638</v>
      </c>
      <c r="J23" s="1992"/>
      <c r="K23" s="1992"/>
      <c r="L23" s="1992"/>
      <c r="M23" s="1992"/>
      <c r="O23" s="724"/>
      <c r="P23" s="728"/>
    </row>
    <row r="24" spans="9:19" ht="20.3">
      <c r="I24" s="1993"/>
      <c r="J24" s="1993"/>
      <c r="K24" s="232" t="s">
        <v>405</v>
      </c>
      <c r="L24" s="685" t="s">
        <v>406</v>
      </c>
      <c r="M24" s="747" t="s">
        <v>93</v>
      </c>
      <c r="O24" s="724"/>
      <c r="P24" s="728"/>
    </row>
    <row r="25" spans="9:19" ht="17.55" customHeight="1">
      <c r="I25" s="320" t="s">
        <v>83</v>
      </c>
      <c r="J25" s="722">
        <f>J16</f>
        <v>0</v>
      </c>
      <c r="K25" s="236">
        <f>K16</f>
        <v>0</v>
      </c>
      <c r="L25" s="236">
        <f>L16</f>
        <v>0</v>
      </c>
      <c r="M25" s="748" t="s">
        <v>94</v>
      </c>
      <c r="O25" s="724"/>
      <c r="P25" s="728"/>
    </row>
    <row r="26" spans="9:19" ht="18" customHeight="1">
      <c r="I26" s="238" t="s">
        <v>84</v>
      </c>
      <c r="J26" s="682" t="e">
        <f>'[5] Hedge Plan B Joint '!N19</f>
        <v>#REF!</v>
      </c>
      <c r="K26" s="681" t="e">
        <f>'[6] Hedge Plan B Marys Survival '!N34</f>
        <v>#REF!</v>
      </c>
      <c r="L26" s="684" t="e">
        <f>'[7] Hedge Plan B Gregs Survival'!N34</f>
        <v>#REF!</v>
      </c>
      <c r="M26" s="749" t="s">
        <v>95</v>
      </c>
      <c r="O26" s="724"/>
      <c r="P26" s="728"/>
    </row>
    <row r="27" spans="9:19" ht="18" customHeight="1">
      <c r="I27" s="634" t="s">
        <v>86</v>
      </c>
      <c r="J27" s="678" t="e">
        <f>J25-J26</f>
        <v>#REF!</v>
      </c>
      <c r="K27" s="721" t="e">
        <f>K25-K26</f>
        <v>#REF!</v>
      </c>
      <c r="L27" s="721" t="e">
        <f>L25-L26</f>
        <v>#REF!</v>
      </c>
      <c r="M27" s="750" t="e">
        <f>'[5] Hedge Plan B Joint '!O19</f>
        <v>#REF!</v>
      </c>
      <c r="O27" s="724"/>
      <c r="P27" s="728"/>
    </row>
    <row r="28" spans="9:19" ht="18" customHeight="1">
      <c r="I28" s="635" t="s">
        <v>88</v>
      </c>
      <c r="J28" s="71" t="s">
        <v>96</v>
      </c>
      <c r="K28" s="71" t="s">
        <v>96</v>
      </c>
      <c r="L28" s="71" t="s">
        <v>96</v>
      </c>
      <c r="M28" s="751" t="s">
        <v>97</v>
      </c>
      <c r="O28" s="724"/>
      <c r="P28" s="728"/>
    </row>
    <row r="29" spans="9:19" ht="18.649999999999999" customHeight="1">
      <c r="I29" s="1994" t="s">
        <v>639</v>
      </c>
      <c r="J29" s="1994"/>
      <c r="K29" s="1994"/>
      <c r="L29" s="1994"/>
      <c r="M29" s="1994"/>
      <c r="O29" s="724"/>
      <c r="P29" s="728"/>
    </row>
    <row r="30" spans="9:19" ht="23.6">
      <c r="I30" s="734"/>
      <c r="J30" s="733"/>
      <c r="K30" s="731" t="e">
        <f>J26</f>
        <v>#REF!</v>
      </c>
      <c r="L30" s="733"/>
      <c r="M30" s="735"/>
      <c r="N30" s="89"/>
      <c r="O30" s="729"/>
      <c r="P30" s="730"/>
    </row>
    <row r="32" spans="9:19" ht="20.3">
      <c r="I32" s="1624"/>
      <c r="J32" s="1625"/>
      <c r="K32" s="1625"/>
      <c r="L32" s="1625"/>
      <c r="M32" s="1625"/>
    </row>
    <row r="33" spans="9:13" ht="20.3">
      <c r="I33" s="1626"/>
      <c r="J33" s="1626"/>
      <c r="K33" s="1626"/>
      <c r="L33" s="1626"/>
      <c r="M33" s="1626"/>
    </row>
    <row r="35" spans="9:13" ht="18.649999999999999" customHeight="1">
      <c r="I35" s="1620"/>
      <c r="J35" s="1620"/>
      <c r="K35" s="1620"/>
      <c r="L35" s="1620"/>
      <c r="M35" s="1620"/>
    </row>
    <row r="36" spans="9:13" ht="18.649999999999999" customHeight="1">
      <c r="I36" s="383"/>
      <c r="J36" s="383"/>
      <c r="K36" s="701"/>
      <c r="L36" s="383"/>
      <c r="M36" s="383"/>
    </row>
    <row r="37" spans="9:13" ht="18" customHeight="1">
      <c r="I37" s="383"/>
      <c r="J37" s="383"/>
      <c r="K37" s="383"/>
      <c r="L37" s="383"/>
      <c r="M37" s="383"/>
    </row>
    <row r="38" spans="9:13" ht="18" customHeight="1">
      <c r="I38" s="383"/>
      <c r="J38" s="383"/>
      <c r="K38" s="383"/>
      <c r="L38" s="383"/>
      <c r="M38" s="383"/>
    </row>
    <row r="39" spans="9:13" ht="18" customHeight="1">
      <c r="I39" s="383"/>
      <c r="J39" s="383"/>
      <c r="K39" s="383"/>
      <c r="L39" s="383"/>
      <c r="M39" s="383"/>
    </row>
    <row r="40" spans="9:13" ht="15.05">
      <c r="I40" s="1575"/>
      <c r="J40" s="1575"/>
      <c r="K40" s="1575"/>
      <c r="L40" s="1575"/>
      <c r="M40" s="1575"/>
    </row>
    <row r="57" spans="1:5" ht="15.05">
      <c r="A57" s="281"/>
      <c r="B57" s="281"/>
      <c r="C57" s="281"/>
      <c r="D57" s="281"/>
      <c r="E57" s="281"/>
    </row>
    <row r="58" spans="1:5" ht="15.05">
      <c r="A58" s="282"/>
      <c r="B58" s="282"/>
      <c r="C58" s="282"/>
      <c r="D58" s="282"/>
      <c r="E58" s="282"/>
    </row>
    <row r="59" spans="1:5" ht="15.05">
      <c r="A59" s="282"/>
      <c r="B59" s="282"/>
      <c r="C59" s="282"/>
      <c r="D59" s="282"/>
      <c r="E59" s="282"/>
    </row>
    <row r="60" spans="1:5" ht="15.05">
      <c r="A60" s="282"/>
      <c r="B60" s="282"/>
      <c r="C60" s="282"/>
      <c r="D60" s="282"/>
      <c r="E60" s="282"/>
    </row>
    <row r="74" spans="1:1">
      <c r="A74" s="89" t="s">
        <v>99</v>
      </c>
    </row>
  </sheetData>
  <mergeCells count="20">
    <mergeCell ref="D1:M1"/>
    <mergeCell ref="D2:M2"/>
    <mergeCell ref="D3:I3"/>
    <mergeCell ref="I4:M4"/>
    <mergeCell ref="I29:M29"/>
    <mergeCell ref="I13:M13"/>
    <mergeCell ref="I22:M22"/>
    <mergeCell ref="K3:M3"/>
    <mergeCell ref="I40:M40"/>
    <mergeCell ref="I5:M5"/>
    <mergeCell ref="I6:J6"/>
    <mergeCell ref="I11:M11"/>
    <mergeCell ref="I14:M14"/>
    <mergeCell ref="I15:J15"/>
    <mergeCell ref="I32:M32"/>
    <mergeCell ref="I33:M33"/>
    <mergeCell ref="I35:M35"/>
    <mergeCell ref="I20:M20"/>
    <mergeCell ref="I23:M23"/>
    <mergeCell ref="I24:J2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tint="-0.49995422223578601"/>
  </sheetPr>
  <dimension ref="A1:S74"/>
  <sheetViews>
    <sheetView showGridLines="0" workbookViewId="0"/>
  </sheetViews>
  <sheetFormatPr defaultColWidth="9.125" defaultRowHeight="12.45"/>
  <cols>
    <col min="1" max="2" width="17.625" customWidth="1"/>
    <col min="3" max="3" width="18.125" customWidth="1"/>
    <col min="10" max="10" width="22" customWidth="1"/>
    <col min="11" max="11" width="20.625" customWidth="1"/>
    <col min="12" max="12" width="22" customWidth="1"/>
    <col min="13" max="13" width="18.625" customWidth="1"/>
  </cols>
  <sheetData>
    <row r="1" spans="1:19" ht="24.25">
      <c r="A1" s="135" t="s">
        <v>72</v>
      </c>
      <c r="B1" s="134" t="s">
        <v>73</v>
      </c>
      <c r="C1" s="133" t="s">
        <v>74</v>
      </c>
      <c r="D1" s="1995" t="s">
        <v>640</v>
      </c>
      <c r="E1" s="1996"/>
      <c r="F1" s="1996"/>
      <c r="G1" s="1996"/>
      <c r="H1" s="1996"/>
      <c r="I1" s="1996"/>
      <c r="J1" s="1996"/>
      <c r="K1" s="1996"/>
      <c r="L1" s="1996"/>
      <c r="M1" s="1996"/>
    </row>
    <row r="2" spans="1:19" ht="18.350000000000001">
      <c r="A2" s="296">
        <v>333477.5</v>
      </c>
      <c r="B2" s="298">
        <v>500000</v>
      </c>
      <c r="C2" s="297">
        <v>181153</v>
      </c>
      <c r="D2" s="1586"/>
      <c r="E2" s="1586"/>
      <c r="F2" s="1586"/>
      <c r="G2" s="1586"/>
      <c r="H2" s="1586"/>
      <c r="I2" s="1586"/>
      <c r="J2" s="1586"/>
      <c r="K2" s="1586"/>
      <c r="L2" s="1586"/>
      <c r="M2" s="1586"/>
    </row>
    <row r="3" spans="1:19" ht="26.2">
      <c r="A3" s="34"/>
      <c r="B3" s="118"/>
      <c r="C3" s="35"/>
      <c r="D3" s="1997" t="s">
        <v>632</v>
      </c>
      <c r="E3" s="1998"/>
      <c r="F3" s="1998"/>
      <c r="G3" s="1998"/>
      <c r="H3" s="1998"/>
      <c r="I3" s="1998"/>
      <c r="J3" s="647">
        <f>'Egan Asset Summary'!O3</f>
        <v>0</v>
      </c>
      <c r="K3" s="2000" t="s">
        <v>633</v>
      </c>
      <c r="L3" s="2001"/>
      <c r="M3" s="2001"/>
    </row>
    <row r="4" spans="1:19" ht="20.3">
      <c r="A4" s="34"/>
      <c r="B4" s="118"/>
      <c r="C4" s="35"/>
      <c r="E4" s="75"/>
      <c r="F4" s="75"/>
      <c r="G4" s="75"/>
      <c r="I4" s="1591"/>
      <c r="J4" s="1591"/>
      <c r="K4" s="1591"/>
      <c r="L4" s="1591"/>
      <c r="M4" s="1591"/>
    </row>
    <row r="5" spans="1:19" ht="24.25">
      <c r="A5" s="34"/>
      <c r="B5" s="118"/>
      <c r="C5" s="35"/>
      <c r="E5" s="75"/>
      <c r="F5" s="75"/>
      <c r="G5" s="75"/>
      <c r="I5" s="1990" t="s">
        <v>634</v>
      </c>
      <c r="J5" s="1990"/>
      <c r="K5" s="1990"/>
      <c r="L5" s="1990"/>
      <c r="M5" s="1990"/>
      <c r="O5" s="725"/>
      <c r="P5" s="726"/>
      <c r="Q5" s="726"/>
      <c r="R5" s="726"/>
      <c r="S5" s="727"/>
    </row>
    <row r="6" spans="1:19" ht="20.3">
      <c r="I6" s="1572"/>
      <c r="J6" s="1572"/>
      <c r="K6" s="232" t="s">
        <v>405</v>
      </c>
      <c r="L6" s="685" t="s">
        <v>406</v>
      </c>
      <c r="M6" s="673"/>
      <c r="O6" s="725"/>
      <c r="P6" s="727"/>
      <c r="S6" s="728"/>
    </row>
    <row r="7" spans="1:19" ht="18.350000000000001">
      <c r="I7" s="320" t="s">
        <v>83</v>
      </c>
      <c r="J7" s="236">
        <f>J3</f>
        <v>0</v>
      </c>
      <c r="K7" s="236">
        <f>J3</f>
        <v>0</v>
      </c>
      <c r="L7" s="236">
        <f>J3</f>
        <v>0</v>
      </c>
      <c r="M7" s="672"/>
      <c r="O7" s="724"/>
      <c r="P7" s="728"/>
      <c r="S7" s="728"/>
    </row>
    <row r="8" spans="1:19" ht="23.6">
      <c r="I8" s="238" t="s">
        <v>84</v>
      </c>
      <c r="J8" s="682">
        <f>'No Plan Recap'!J16</f>
        <v>40420.221552223491</v>
      </c>
      <c r="K8" s="681">
        <f>'No Plan Recap'!K16</f>
        <v>45000</v>
      </c>
      <c r="L8" s="684" t="e">
        <f>'No Plan Recap'!L16</f>
        <v>#REF!</v>
      </c>
      <c r="M8" s="674" t="s">
        <v>85</v>
      </c>
      <c r="O8" s="724"/>
      <c r="P8" s="728"/>
      <c r="Q8" s="723"/>
      <c r="R8" s="724"/>
      <c r="S8" s="728"/>
    </row>
    <row r="9" spans="1:19" ht="18" customHeight="1">
      <c r="I9" s="634" t="s">
        <v>86</v>
      </c>
      <c r="J9" s="678">
        <f>J7-J8</f>
        <v>-40420.221552223491</v>
      </c>
      <c r="K9" s="677">
        <f>K7-K8</f>
        <v>-45000</v>
      </c>
      <c r="L9" s="677" t="e">
        <f>L7-L8</f>
        <v>#REF!</v>
      </c>
      <c r="M9" s="674" t="s">
        <v>87</v>
      </c>
      <c r="O9" s="724"/>
      <c r="P9" s="728"/>
      <c r="S9" s="728"/>
    </row>
    <row r="10" spans="1:19" ht="17.55" customHeight="1">
      <c r="I10" s="635" t="s">
        <v>88</v>
      </c>
      <c r="J10" s="71" t="s">
        <v>96</v>
      </c>
      <c r="K10" s="670" t="s">
        <v>89</v>
      </c>
      <c r="L10" s="670" t="s">
        <v>89</v>
      </c>
      <c r="M10" s="349"/>
      <c r="O10" s="724"/>
      <c r="P10" s="728"/>
      <c r="S10" s="728"/>
    </row>
    <row r="11" spans="1:19" ht="24.25">
      <c r="I11" s="1991" t="s">
        <v>635</v>
      </c>
      <c r="J11" s="1991"/>
      <c r="K11" s="1991"/>
      <c r="L11" s="1991"/>
      <c r="M11" s="1991"/>
      <c r="O11" s="724"/>
      <c r="P11" s="728"/>
      <c r="S11" s="728"/>
    </row>
    <row r="12" spans="1:19" ht="23.6">
      <c r="I12" s="716"/>
      <c r="J12" s="355"/>
      <c r="K12" s="731">
        <f>'No Plan Recap'!K20</f>
        <v>40420.221552223491</v>
      </c>
      <c r="L12" s="355"/>
      <c r="M12" s="673"/>
      <c r="O12" s="724"/>
      <c r="P12" s="728"/>
      <c r="S12" s="728"/>
    </row>
    <row r="13" spans="1:19" ht="17.7">
      <c r="I13" s="1730"/>
      <c r="J13" s="1730"/>
      <c r="K13" s="1730"/>
      <c r="L13" s="1730"/>
      <c r="M13" s="1730"/>
    </row>
    <row r="14" spans="1:19" ht="24.25">
      <c r="I14" s="1992" t="s">
        <v>641</v>
      </c>
      <c r="J14" s="1992"/>
      <c r="K14" s="1992"/>
      <c r="L14" s="1992"/>
      <c r="M14" s="1992"/>
    </row>
    <row r="15" spans="1:19" ht="20.3">
      <c r="I15" s="2002"/>
      <c r="J15" s="2002"/>
      <c r="K15" s="232" t="s">
        <v>405</v>
      </c>
      <c r="L15" s="685" t="s">
        <v>406</v>
      </c>
      <c r="M15" s="736" t="s">
        <v>93</v>
      </c>
    </row>
    <row r="16" spans="1:19" ht="18.350000000000001">
      <c r="I16" s="320" t="s">
        <v>83</v>
      </c>
      <c r="J16" s="236">
        <f>J3</f>
        <v>0</v>
      </c>
      <c r="K16" s="236">
        <f>J3</f>
        <v>0</v>
      </c>
      <c r="L16" s="236">
        <f>J3</f>
        <v>0</v>
      </c>
      <c r="M16" s="737" t="s">
        <v>94</v>
      </c>
    </row>
    <row r="17" spans="9:19" ht="23.6">
      <c r="I17" s="238" t="s">
        <v>84</v>
      </c>
      <c r="J17" s="682" t="e">
        <f>'[8] Hedge Plan A Joint'!M15</f>
        <v>#REF!</v>
      </c>
      <c r="K17" s="681" t="e">
        <f>'[9] Hedge Plan A Marys Survival'!M34</f>
        <v>#REF!</v>
      </c>
      <c r="L17" s="684" t="e">
        <f>'[10] Hedge Plan A Gregs Survival'!M34</f>
        <v>#REF!</v>
      </c>
      <c r="M17" s="738" t="s">
        <v>95</v>
      </c>
    </row>
    <row r="18" spans="9:19" ht="17.7">
      <c r="I18" s="634" t="s">
        <v>86</v>
      </c>
      <c r="J18" s="678" t="e">
        <f>J16-J17</f>
        <v>#REF!</v>
      </c>
      <c r="K18" s="679" t="e">
        <f>K16-K17</f>
        <v>#REF!</v>
      </c>
      <c r="L18" s="679" t="e">
        <f>L16-L17</f>
        <v>#REF!</v>
      </c>
      <c r="M18" s="739" t="e">
        <f>'[8] Hedge Plan A Joint'!N15</f>
        <v>#REF!</v>
      </c>
      <c r="O18" s="729"/>
      <c r="P18" s="730"/>
      <c r="Q18" s="723"/>
      <c r="R18" s="723"/>
      <c r="S18" s="730"/>
    </row>
    <row r="19" spans="9:19" ht="14.25" customHeight="1">
      <c r="I19" s="635" t="s">
        <v>88</v>
      </c>
      <c r="J19" s="71" t="s">
        <v>96</v>
      </c>
      <c r="K19" s="670" t="s">
        <v>89</v>
      </c>
      <c r="L19" s="670" t="s">
        <v>89</v>
      </c>
      <c r="M19" s="740" t="s">
        <v>97</v>
      </c>
      <c r="O19" s="724"/>
      <c r="P19" s="728"/>
    </row>
    <row r="20" spans="9:19" ht="24.25">
      <c r="I20" s="1994" t="s">
        <v>637</v>
      </c>
      <c r="J20" s="1994"/>
      <c r="K20" s="1994"/>
      <c r="L20" s="1994"/>
      <c r="M20" s="1994"/>
      <c r="O20" s="724"/>
      <c r="P20" s="728"/>
    </row>
    <row r="21" spans="9:19" ht="23.6">
      <c r="I21" s="742"/>
      <c r="J21" s="741"/>
      <c r="K21" s="746" t="e">
        <f>J17</f>
        <v>#REF!</v>
      </c>
      <c r="L21" s="743"/>
      <c r="M21" s="744"/>
      <c r="O21" s="724"/>
      <c r="P21" s="728"/>
    </row>
    <row r="22" spans="9:19" ht="17.7">
      <c r="I22" s="2003"/>
      <c r="J22" s="2003"/>
      <c r="K22" s="2003"/>
      <c r="L22" s="2003"/>
      <c r="M22" s="2003"/>
      <c r="O22" s="724"/>
      <c r="P22" s="728"/>
    </row>
    <row r="23" spans="9:19" ht="24.25">
      <c r="I23" s="1992" t="s">
        <v>642</v>
      </c>
      <c r="J23" s="1992"/>
      <c r="K23" s="1992"/>
      <c r="L23" s="1992"/>
      <c r="M23" s="1992"/>
      <c r="O23" s="724"/>
      <c r="P23" s="728"/>
    </row>
    <row r="24" spans="9:19" ht="20.3">
      <c r="I24" s="2002"/>
      <c r="J24" s="2002"/>
      <c r="K24" s="232" t="s">
        <v>405</v>
      </c>
      <c r="L24" s="685" t="s">
        <v>406</v>
      </c>
      <c r="M24" s="745" t="s">
        <v>93</v>
      </c>
      <c r="O24" s="724"/>
      <c r="P24" s="728"/>
    </row>
    <row r="25" spans="9:19" ht="17.55" customHeight="1">
      <c r="I25" s="320" t="s">
        <v>83</v>
      </c>
      <c r="J25" s="722">
        <f>J16</f>
        <v>0</v>
      </c>
      <c r="K25" s="236">
        <f>K16</f>
        <v>0</v>
      </c>
      <c r="L25" s="236">
        <f>L16</f>
        <v>0</v>
      </c>
      <c r="M25" s="737" t="s">
        <v>94</v>
      </c>
      <c r="O25" s="724"/>
      <c r="P25" s="728"/>
    </row>
    <row r="26" spans="9:19" ht="18" customHeight="1">
      <c r="I26" s="238" t="s">
        <v>84</v>
      </c>
      <c r="J26" s="682" t="e">
        <f>'[8] Hedge Plan A Joint'!M19</f>
        <v>#REF!</v>
      </c>
      <c r="K26" s="681" t="e">
        <f>'[9] Hedge Plan A Marys Survival'!M34</f>
        <v>#REF!</v>
      </c>
      <c r="L26" s="684" t="e">
        <f>'[10] Hedge Plan A Gregs Survival'!M34</f>
        <v>#REF!</v>
      </c>
      <c r="M26" s="738" t="s">
        <v>95</v>
      </c>
      <c r="O26" s="724"/>
      <c r="P26" s="728"/>
    </row>
    <row r="27" spans="9:19" ht="18" customHeight="1">
      <c r="I27" s="634" t="s">
        <v>86</v>
      </c>
      <c r="J27" s="678" t="e">
        <f>J25-J26</f>
        <v>#REF!</v>
      </c>
      <c r="K27" s="679" t="e">
        <f>K25-K26</f>
        <v>#REF!</v>
      </c>
      <c r="L27" s="679" t="e">
        <f>L25-L26</f>
        <v>#REF!</v>
      </c>
      <c r="M27" s="739" t="e">
        <f>'[8] Hedge Plan A Joint'!N19</f>
        <v>#REF!</v>
      </c>
      <c r="O27" s="724"/>
      <c r="P27" s="728"/>
    </row>
    <row r="28" spans="9:19" ht="18" customHeight="1">
      <c r="I28" s="635" t="s">
        <v>88</v>
      </c>
      <c r="J28" s="71" t="s">
        <v>96</v>
      </c>
      <c r="K28" s="670" t="s">
        <v>89</v>
      </c>
      <c r="L28" s="670" t="s">
        <v>89</v>
      </c>
      <c r="M28" s="740" t="s">
        <v>97</v>
      </c>
      <c r="O28" s="724"/>
      <c r="P28" s="728"/>
    </row>
    <row r="29" spans="9:19" ht="18.649999999999999" customHeight="1">
      <c r="I29" s="1994" t="s">
        <v>639</v>
      </c>
      <c r="J29" s="1994"/>
      <c r="K29" s="1994"/>
      <c r="L29" s="1994"/>
      <c r="M29" s="1994"/>
      <c r="O29" s="724"/>
      <c r="P29" s="728"/>
    </row>
    <row r="30" spans="9:19" ht="23.6">
      <c r="I30" s="734"/>
      <c r="J30" s="733"/>
      <c r="K30" s="746" t="e">
        <f>J26</f>
        <v>#REF!</v>
      </c>
      <c r="L30" s="733"/>
      <c r="M30" s="735"/>
      <c r="N30" s="89"/>
      <c r="O30" s="729"/>
      <c r="P30" s="730"/>
    </row>
    <row r="32" spans="9:19" ht="20.3">
      <c r="I32" s="1624"/>
      <c r="J32" s="1625"/>
      <c r="K32" s="1625"/>
      <c r="L32" s="1625"/>
      <c r="M32" s="1625"/>
    </row>
    <row r="33" spans="9:13" ht="20.3">
      <c r="I33" s="1626"/>
      <c r="J33" s="1626"/>
      <c r="K33" s="1626"/>
      <c r="L33" s="1626"/>
      <c r="M33" s="1626"/>
    </row>
    <row r="35" spans="9:13" ht="18.649999999999999" customHeight="1">
      <c r="I35" s="1620"/>
      <c r="J35" s="1620"/>
      <c r="K35" s="1620"/>
      <c r="L35" s="1620"/>
      <c r="M35" s="1620"/>
    </row>
    <row r="36" spans="9:13" ht="18.649999999999999" customHeight="1">
      <c r="I36" s="383"/>
      <c r="J36" s="383"/>
      <c r="K36" s="701"/>
      <c r="L36" s="383"/>
      <c r="M36" s="383"/>
    </row>
    <row r="37" spans="9:13" ht="18" customHeight="1">
      <c r="I37" s="383"/>
      <c r="J37" s="383"/>
      <c r="K37" s="383"/>
      <c r="L37" s="383"/>
      <c r="M37" s="383"/>
    </row>
    <row r="38" spans="9:13" ht="18" customHeight="1">
      <c r="I38" s="383"/>
      <c r="J38" s="383"/>
      <c r="K38" s="383"/>
      <c r="L38" s="383"/>
      <c r="M38" s="383"/>
    </row>
    <row r="39" spans="9:13" ht="18" customHeight="1">
      <c r="I39" s="383"/>
      <c r="J39" s="383"/>
      <c r="K39" s="383"/>
      <c r="L39" s="383"/>
      <c r="M39" s="383"/>
    </row>
    <row r="40" spans="9:13" ht="15.05">
      <c r="I40" s="1575"/>
      <c r="J40" s="1575"/>
      <c r="K40" s="1575"/>
      <c r="L40" s="1575"/>
      <c r="M40" s="1575"/>
    </row>
    <row r="57" spans="1:5" ht="15.05">
      <c r="A57" s="281"/>
      <c r="B57" s="281"/>
      <c r="C57" s="281"/>
      <c r="D57" s="281"/>
      <c r="E57" s="281"/>
    </row>
    <row r="58" spans="1:5" ht="15.05">
      <c r="A58" s="282"/>
      <c r="B58" s="282"/>
      <c r="C58" s="282"/>
      <c r="D58" s="282"/>
      <c r="E58" s="282"/>
    </row>
    <row r="59" spans="1:5" ht="15.05">
      <c r="A59" s="282"/>
      <c r="B59" s="282"/>
      <c r="C59" s="282"/>
      <c r="D59" s="282"/>
      <c r="E59" s="282"/>
    </row>
    <row r="60" spans="1:5" ht="15.05">
      <c r="A60" s="282"/>
      <c r="B60" s="282"/>
      <c r="C60" s="282"/>
      <c r="D60" s="282"/>
      <c r="E60" s="282"/>
    </row>
    <row r="74" spans="1:1">
      <c r="A74" s="89" t="s">
        <v>99</v>
      </c>
    </row>
  </sheetData>
  <mergeCells count="20">
    <mergeCell ref="I35:M35"/>
    <mergeCell ref="I40:M40"/>
    <mergeCell ref="I22:M22"/>
    <mergeCell ref="I23:M23"/>
    <mergeCell ref="I24:J24"/>
    <mergeCell ref="I29:M29"/>
    <mergeCell ref="I32:M32"/>
    <mergeCell ref="I33:M33"/>
    <mergeCell ref="I20:M20"/>
    <mergeCell ref="D1:M1"/>
    <mergeCell ref="D2:M2"/>
    <mergeCell ref="D3:I3"/>
    <mergeCell ref="K3:M3"/>
    <mergeCell ref="I4:M4"/>
    <mergeCell ref="I5:M5"/>
    <mergeCell ref="I6:J6"/>
    <mergeCell ref="I11:M11"/>
    <mergeCell ref="I13:M13"/>
    <mergeCell ref="I14:M14"/>
    <mergeCell ref="I15:J15"/>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4" tint="-0.4999542222357860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20.75" customWidth="1"/>
    <col min="12" max="12" width="22" customWidth="1"/>
    <col min="13" max="13" width="18.625" customWidth="1"/>
  </cols>
  <sheetData>
    <row r="1" spans="1:13" ht="24.25">
      <c r="A1" s="135" t="s">
        <v>72</v>
      </c>
      <c r="B1" s="134" t="s">
        <v>73</v>
      </c>
      <c r="C1" s="133" t="s">
        <v>74</v>
      </c>
      <c r="D1" s="1584" t="s">
        <v>643</v>
      </c>
      <c r="E1" s="1585"/>
      <c r="F1" s="1585"/>
      <c r="G1" s="1585"/>
      <c r="H1" s="1585"/>
      <c r="I1" s="1585"/>
      <c r="J1" s="1585"/>
      <c r="K1" s="1585"/>
      <c r="L1" s="1585"/>
      <c r="M1" s="1585"/>
    </row>
    <row r="2" spans="1:13" ht="18.350000000000001">
      <c r="A2" s="296">
        <f>'Egan Asset Summary'!M17</f>
        <v>321628.61</v>
      </c>
      <c r="B2" s="298" t="e">
        <f>#REF!</f>
        <v>#REF!</v>
      </c>
      <c r="C2" s="297" t="e">
        <f>#REF!</f>
        <v>#REF!</v>
      </c>
      <c r="D2" s="1586"/>
      <c r="E2" s="1586"/>
      <c r="F2" s="1586"/>
      <c r="G2" s="1586"/>
      <c r="H2" s="1586"/>
      <c r="I2" s="1586"/>
      <c r="J2" s="1586"/>
      <c r="K2" s="1586"/>
      <c r="L2" s="1586"/>
      <c r="M2" s="1586"/>
    </row>
    <row r="3" spans="1:13" ht="26.2">
      <c r="A3" s="34"/>
      <c r="B3" s="118"/>
      <c r="C3" s="35"/>
      <c r="D3" s="1587" t="s">
        <v>76</v>
      </c>
      <c r="E3" s="1588"/>
      <c r="F3" s="1588"/>
      <c r="G3" s="1588"/>
      <c r="H3" s="1588"/>
      <c r="I3" s="1588"/>
      <c r="J3" s="385">
        <f>'Egan Asset Summary'!O3</f>
        <v>0</v>
      </c>
    </row>
    <row r="4" spans="1:13" ht="14.4">
      <c r="A4" s="34"/>
      <c r="B4" s="118"/>
      <c r="C4" s="35"/>
      <c r="E4" s="75"/>
      <c r="F4" s="75"/>
      <c r="G4" s="75"/>
      <c r="I4" s="1589"/>
      <c r="J4" s="1590"/>
      <c r="K4" s="1590"/>
      <c r="L4" s="1590"/>
      <c r="M4" s="1590"/>
    </row>
    <row r="5" spans="1:13">
      <c r="A5" s="34"/>
      <c r="B5" s="118"/>
      <c r="C5" s="35"/>
      <c r="E5" s="75"/>
      <c r="F5" s="75"/>
      <c r="G5" s="75"/>
    </row>
    <row r="8" spans="1:13" ht="20.3">
      <c r="I8" s="1591" t="s">
        <v>77</v>
      </c>
      <c r="J8" s="1591"/>
      <c r="K8" s="1591"/>
      <c r="L8" s="1591"/>
      <c r="M8" s="1591"/>
    </row>
    <row r="9" spans="1:13" ht="18" customHeight="1">
      <c r="I9" s="1574" t="s">
        <v>78</v>
      </c>
      <c r="J9" s="1574"/>
      <c r="K9" s="1574"/>
      <c r="L9" s="1574"/>
      <c r="M9" s="1574"/>
    </row>
    <row r="10" spans="1:13" ht="17.55" customHeight="1">
      <c r="M10" s="262"/>
    </row>
    <row r="11" spans="1:13" ht="26.2">
      <c r="I11" s="1573" t="s">
        <v>79</v>
      </c>
      <c r="J11" s="1573"/>
      <c r="K11" s="1573"/>
      <c r="L11" s="1573"/>
      <c r="M11" s="1573"/>
    </row>
    <row r="12" spans="1:13" ht="20.3">
      <c r="I12" s="1571"/>
      <c r="J12" s="1572"/>
      <c r="K12" s="1572"/>
      <c r="L12" s="1572"/>
      <c r="M12" s="675"/>
    </row>
    <row r="13" spans="1:13" ht="20.3">
      <c r="I13" s="1571"/>
      <c r="J13" s="1572"/>
      <c r="K13" s="1572"/>
      <c r="L13" s="1572"/>
      <c r="M13" s="673"/>
    </row>
    <row r="14" spans="1:13" ht="20.3">
      <c r="I14" s="1582" t="s">
        <v>80</v>
      </c>
      <c r="J14" s="1582"/>
      <c r="K14" s="232" t="s">
        <v>81</v>
      </c>
      <c r="L14" s="685" t="s">
        <v>82</v>
      </c>
      <c r="M14" s="673"/>
    </row>
    <row r="15" spans="1:13" ht="18.350000000000001">
      <c r="I15" s="320" t="s">
        <v>83</v>
      </c>
      <c r="J15" s="236">
        <f>J3</f>
        <v>0</v>
      </c>
      <c r="K15" s="236">
        <f>J3</f>
        <v>0</v>
      </c>
      <c r="L15" s="236">
        <f>J3</f>
        <v>0</v>
      </c>
      <c r="M15" s="672"/>
    </row>
    <row r="16" spans="1:13" ht="23.6">
      <c r="I16" s="238" t="s">
        <v>84</v>
      </c>
      <c r="J16" s="682">
        <f>'No Plan Recap'!J16</f>
        <v>40420.221552223491</v>
      </c>
      <c r="K16" s="681">
        <f>'No Plan Recap'!K16</f>
        <v>45000</v>
      </c>
      <c r="L16" s="684" t="e">
        <f>'No Plan Recap'!L16</f>
        <v>#REF!</v>
      </c>
      <c r="M16" s="674" t="s">
        <v>85</v>
      </c>
    </row>
    <row r="17" spans="9:14" ht="17.7">
      <c r="I17" s="634" t="s">
        <v>86</v>
      </c>
      <c r="J17" s="676">
        <f>J15-J16</f>
        <v>-40420.221552223491</v>
      </c>
      <c r="K17" s="677">
        <f>K15-K16</f>
        <v>-45000</v>
      </c>
      <c r="L17" s="677" t="e">
        <f>L15-L16</f>
        <v>#REF!</v>
      </c>
      <c r="M17" s="703" t="s">
        <v>87</v>
      </c>
    </row>
    <row r="18" spans="9:14" ht="14.25" customHeight="1">
      <c r="I18" s="635" t="s">
        <v>88</v>
      </c>
      <c r="J18" s="670" t="s">
        <v>89</v>
      </c>
      <c r="K18" s="670" t="s">
        <v>89</v>
      </c>
      <c r="L18" s="670" t="s">
        <v>89</v>
      </c>
      <c r="M18" s="349"/>
    </row>
    <row r="19" spans="9:14" ht="20.3">
      <c r="I19" s="1579" t="s">
        <v>90</v>
      </c>
      <c r="J19" s="1579"/>
      <c r="K19" s="1579"/>
      <c r="L19" s="1579"/>
      <c r="M19" s="1579"/>
    </row>
    <row r="20" spans="9:14" ht="23.6">
      <c r="I20" s="355"/>
      <c r="J20" s="355"/>
      <c r="K20" s="693">
        <f>J16</f>
        <v>40420.221552223491</v>
      </c>
      <c r="L20" s="355"/>
      <c r="M20" s="355"/>
    </row>
    <row r="21" spans="9:14" ht="20.3">
      <c r="I21" s="1576"/>
      <c r="J21" s="1577"/>
      <c r="K21" s="1577"/>
      <c r="L21" s="1577"/>
      <c r="M21" s="1577"/>
    </row>
    <row r="22" spans="9:14" ht="26.2">
      <c r="I22" s="1580" t="s">
        <v>644</v>
      </c>
      <c r="J22" s="1580"/>
      <c r="K22" s="1580"/>
      <c r="L22" s="1580"/>
      <c r="M22" s="1580"/>
    </row>
    <row r="23" spans="9:14" ht="17.55" customHeight="1">
      <c r="I23" s="1578"/>
      <c r="J23" s="1578"/>
      <c r="K23" s="1578"/>
      <c r="L23" s="1578"/>
      <c r="M23" s="696" t="s">
        <v>92</v>
      </c>
    </row>
    <row r="24" spans="9:14" ht="18" customHeight="1">
      <c r="I24" s="1582" t="s">
        <v>645</v>
      </c>
      <c r="J24" s="1582"/>
      <c r="K24" s="232" t="s">
        <v>81</v>
      </c>
      <c r="L24" s="685" t="s">
        <v>82</v>
      </c>
      <c r="M24" s="705" t="s">
        <v>93</v>
      </c>
    </row>
    <row r="25" spans="9:14" ht="18" customHeight="1">
      <c r="I25" s="320" t="s">
        <v>83</v>
      </c>
      <c r="J25" s="236">
        <f>J3</f>
        <v>0</v>
      </c>
      <c r="K25" s="236">
        <f>J3</f>
        <v>0</v>
      </c>
      <c r="L25" s="236">
        <f>J3</f>
        <v>0</v>
      </c>
      <c r="M25" s="700" t="s">
        <v>94</v>
      </c>
    </row>
    <row r="26" spans="9:14" ht="18.649999999999999" customHeight="1">
      <c r="I26" s="238" t="s">
        <v>84</v>
      </c>
      <c r="J26" s="682" t="e">
        <f>#REF!</f>
        <v>#REF!</v>
      </c>
      <c r="K26" s="681" t="e">
        <f>#REF!</f>
        <v>#REF!</v>
      </c>
      <c r="L26" s="684" t="e">
        <f>#REF!</f>
        <v>#REF!</v>
      </c>
      <c r="M26" s="704" t="s">
        <v>95</v>
      </c>
    </row>
    <row r="27" spans="9:14" ht="23.6">
      <c r="I27" s="634" t="s">
        <v>86</v>
      </c>
      <c r="J27" s="678" t="e">
        <f>J25-J26</f>
        <v>#REF!</v>
      </c>
      <c r="K27" s="679" t="e">
        <f>K25-K26</f>
        <v>#REF!</v>
      </c>
      <c r="L27" s="679" t="e">
        <f>L25-L26</f>
        <v>#REF!</v>
      </c>
      <c r="M27" s="699" t="e">
        <f>#REF!</f>
        <v>#REF!</v>
      </c>
      <c r="N27" s="89"/>
    </row>
    <row r="28" spans="9:14" ht="20.3">
      <c r="I28" s="265" t="s">
        <v>88</v>
      </c>
      <c r="J28" s="192" t="s">
        <v>96</v>
      </c>
      <c r="K28" s="702" t="s">
        <v>89</v>
      </c>
      <c r="L28" s="702" t="s">
        <v>89</v>
      </c>
      <c r="M28" s="698" t="s">
        <v>97</v>
      </c>
    </row>
    <row r="29" spans="9:14" ht="20.3">
      <c r="I29" s="2004" t="s">
        <v>646</v>
      </c>
      <c r="J29" s="2005"/>
      <c r="K29" s="2005"/>
      <c r="L29" s="2005"/>
      <c r="M29" s="2005"/>
    </row>
    <row r="30" spans="9:14" ht="20.3">
      <c r="I30" s="1583" t="s">
        <v>647</v>
      </c>
      <c r="J30" s="1583"/>
      <c r="K30" s="1583"/>
      <c r="L30" s="1583"/>
      <c r="M30" s="1583"/>
    </row>
    <row r="31" spans="9:14" ht="23.6">
      <c r="I31" s="454"/>
      <c r="J31" s="694"/>
      <c r="K31" s="692" t="e">
        <f>#REF!</f>
        <v>#REF!</v>
      </c>
      <c r="L31" s="694"/>
      <c r="M31" s="695"/>
    </row>
    <row r="32" spans="9:14" ht="18.649999999999999" customHeight="1">
      <c r="I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18">
    <mergeCell ref="I37:M37"/>
    <mergeCell ref="I11:M11"/>
    <mergeCell ref="I12:L12"/>
    <mergeCell ref="I13:L13"/>
    <mergeCell ref="I14:J14"/>
    <mergeCell ref="I19:M19"/>
    <mergeCell ref="I21:M21"/>
    <mergeCell ref="I22:M22"/>
    <mergeCell ref="I23:L23"/>
    <mergeCell ref="I24:J24"/>
    <mergeCell ref="I29:M29"/>
    <mergeCell ref="I30:M30"/>
    <mergeCell ref="I9:M9"/>
    <mergeCell ref="D1:M1"/>
    <mergeCell ref="D2:M2"/>
    <mergeCell ref="D3:I3"/>
    <mergeCell ref="I4:M4"/>
    <mergeCell ref="I8:M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0" tint="-0.14999847407452621"/>
  </sheetPr>
  <dimension ref="A1:R42"/>
  <sheetViews>
    <sheetView showGridLines="0" workbookViewId="0"/>
  </sheetViews>
  <sheetFormatPr defaultRowHeight="12.45"/>
  <cols>
    <col min="1" max="1" width="18.75" customWidth="1"/>
    <col min="5" max="5" width="9.75" customWidth="1"/>
  </cols>
  <sheetData>
    <row r="1" spans="1:18" ht="17.7">
      <c r="A1" s="1539" t="s">
        <v>648</v>
      </c>
      <c r="B1" s="1539"/>
      <c r="C1" s="1539"/>
      <c r="D1" s="1539"/>
      <c r="E1" s="1539"/>
      <c r="F1" s="1539"/>
      <c r="G1" s="1539"/>
      <c r="H1" s="1539"/>
      <c r="I1" s="1539"/>
      <c r="J1" s="1539"/>
      <c r="K1" s="1539"/>
      <c r="L1" s="1539"/>
      <c r="M1" s="1539"/>
      <c r="N1" s="1539"/>
      <c r="O1" s="1539"/>
      <c r="P1" s="1539"/>
      <c r="Q1" s="1539"/>
      <c r="R1" s="1539"/>
    </row>
    <row r="4" spans="1:18" ht="17.7">
      <c r="B4" s="2010" t="s">
        <v>649</v>
      </c>
      <c r="C4" s="2010"/>
      <c r="D4" s="2010"/>
      <c r="E4" s="2010"/>
      <c r="F4" s="2010"/>
      <c r="G4" s="2010"/>
      <c r="H4" s="2010"/>
      <c r="I4" s="262"/>
      <c r="J4" s="1539" t="s">
        <v>650</v>
      </c>
      <c r="K4" s="1539"/>
      <c r="L4" s="1539"/>
      <c r="M4" s="1539"/>
      <c r="N4" s="1539"/>
      <c r="O4" s="1539"/>
      <c r="P4" s="1539"/>
      <c r="Q4" s="262"/>
      <c r="R4" s="262"/>
    </row>
    <row r="6" spans="1:18" ht="17.7">
      <c r="A6" s="1974" t="s">
        <v>651</v>
      </c>
      <c r="B6" s="1974"/>
      <c r="C6" s="1974"/>
      <c r="E6" s="661">
        <v>7.0000000000000007E-2</v>
      </c>
      <c r="M6" s="661">
        <v>0.08</v>
      </c>
    </row>
    <row r="8" spans="1:18" ht="17.7">
      <c r="A8" s="1974" t="s">
        <v>652</v>
      </c>
      <c r="B8" s="1974"/>
      <c r="C8" s="1974"/>
      <c r="E8" s="661">
        <v>7.0000000000000007E-2</v>
      </c>
      <c r="M8" s="661">
        <v>0.06</v>
      </c>
    </row>
    <row r="9" spans="1:18" ht="17.7">
      <c r="A9" s="153"/>
      <c r="B9" s="153"/>
      <c r="E9" s="661"/>
      <c r="M9" s="661"/>
    </row>
    <row r="10" spans="1:18" ht="13.1">
      <c r="A10" s="1974" t="s">
        <v>653</v>
      </c>
      <c r="B10" s="1974"/>
      <c r="C10" s="1974"/>
      <c r="D10" s="2006" t="s">
        <v>654</v>
      </c>
      <c r="E10" s="2006"/>
      <c r="F10" s="2006"/>
      <c r="G10" s="2006"/>
      <c r="H10" s="2006"/>
      <c r="I10" s="2006" t="s">
        <v>655</v>
      </c>
      <c r="J10" s="2008"/>
      <c r="K10" s="663"/>
      <c r="L10" s="2006" t="s">
        <v>656</v>
      </c>
      <c r="M10" s="2006"/>
      <c r="N10" s="2006"/>
      <c r="O10" s="2006"/>
      <c r="P10" s="2006"/>
    </row>
    <row r="11" spans="1:18" ht="17.7">
      <c r="A11" s="153"/>
      <c r="B11" s="153"/>
      <c r="C11" s="153"/>
      <c r="D11" s="2006" t="s">
        <v>657</v>
      </c>
      <c r="E11" s="2006"/>
      <c r="F11" s="2006"/>
      <c r="G11" s="2006"/>
      <c r="H11" s="2006"/>
      <c r="I11" s="2006" t="s">
        <v>658</v>
      </c>
      <c r="J11" s="2008"/>
      <c r="K11" s="663"/>
      <c r="L11" s="2006" t="s">
        <v>659</v>
      </c>
      <c r="M11" s="2006"/>
      <c r="N11" s="2006"/>
      <c r="O11" s="2006"/>
      <c r="P11" s="2006"/>
    </row>
    <row r="12" spans="1:18" ht="17.7">
      <c r="A12" s="153"/>
      <c r="B12" s="153"/>
      <c r="C12" s="153"/>
      <c r="D12" s="2006" t="s">
        <v>660</v>
      </c>
      <c r="E12" s="2006"/>
      <c r="F12" s="2006"/>
      <c r="G12" s="2006"/>
      <c r="H12" s="2006"/>
      <c r="I12" s="2006" t="s">
        <v>661</v>
      </c>
      <c r="J12" s="2008"/>
      <c r="K12" s="663"/>
      <c r="L12" s="2006" t="s">
        <v>662</v>
      </c>
      <c r="M12" s="2006"/>
      <c r="N12" s="2006"/>
      <c r="O12" s="2006"/>
      <c r="P12" s="2006"/>
    </row>
    <row r="13" spans="1:18" ht="17.7">
      <c r="A13" s="153"/>
      <c r="B13" s="153"/>
      <c r="C13" s="153"/>
      <c r="D13" s="2006" t="s">
        <v>663</v>
      </c>
      <c r="E13" s="2006"/>
      <c r="F13" s="2006"/>
      <c r="G13" s="2006"/>
      <c r="H13" s="2006"/>
      <c r="I13" s="2006" t="s">
        <v>664</v>
      </c>
      <c r="J13" s="2008"/>
      <c r="K13" s="663"/>
      <c r="L13" s="2006" t="s">
        <v>665</v>
      </c>
      <c r="M13" s="2006"/>
      <c r="N13" s="2006"/>
      <c r="O13" s="2006"/>
      <c r="P13" s="2006"/>
    </row>
    <row r="14" spans="1:18">
      <c r="A14" s="1724"/>
      <c r="B14" s="1724"/>
    </row>
    <row r="15" spans="1:18" ht="17.7">
      <c r="A15" s="1974" t="s">
        <v>666</v>
      </c>
      <c r="B15" s="1974"/>
      <c r="C15" s="1974"/>
      <c r="E15" s="198" t="s">
        <v>299</v>
      </c>
      <c r="M15" s="198" t="s">
        <v>299</v>
      </c>
    </row>
    <row r="16" spans="1:18" ht="13.1">
      <c r="A16" s="1974" t="s">
        <v>667</v>
      </c>
      <c r="B16" s="1974"/>
      <c r="C16" s="1974"/>
      <c r="D16" s="1540" t="s">
        <v>668</v>
      </c>
      <c r="E16" s="1724"/>
      <c r="F16" s="1724"/>
      <c r="L16" s="1540" t="s">
        <v>668</v>
      </c>
      <c r="M16" s="1724"/>
      <c r="N16" s="1724"/>
    </row>
    <row r="17" spans="1:14" ht="13.1">
      <c r="A17" s="71"/>
      <c r="B17" s="71"/>
      <c r="C17" s="71"/>
      <c r="D17" s="208"/>
      <c r="E17" s="262"/>
      <c r="F17" s="262"/>
      <c r="L17" s="208"/>
      <c r="M17" s="262"/>
      <c r="N17" s="262"/>
    </row>
    <row r="18" spans="1:14" ht="17.7">
      <c r="A18" s="1974" t="s">
        <v>669</v>
      </c>
      <c r="B18" s="1974"/>
      <c r="C18" s="1974"/>
      <c r="E18" s="662">
        <v>0.01</v>
      </c>
      <c r="M18" s="662">
        <v>0.01</v>
      </c>
    </row>
    <row r="19" spans="1:14" ht="17.7">
      <c r="A19" s="71"/>
      <c r="B19" s="71"/>
      <c r="C19" s="71"/>
      <c r="E19" s="662"/>
      <c r="M19" s="662"/>
    </row>
    <row r="20" spans="1:14" ht="17.7">
      <c r="A20" s="1974" t="s">
        <v>670</v>
      </c>
      <c r="B20" s="1974"/>
      <c r="C20" s="1974"/>
      <c r="E20" s="662" t="s">
        <v>671</v>
      </c>
      <c r="M20" s="662" t="s">
        <v>671</v>
      </c>
    </row>
    <row r="21" spans="1:14">
      <c r="A21" s="208"/>
      <c r="B21" s="262"/>
      <c r="C21" s="208"/>
      <c r="E21" s="660"/>
      <c r="M21" s="660"/>
    </row>
    <row r="22" spans="1:14" ht="17.7">
      <c r="A22" s="1974" t="s">
        <v>672</v>
      </c>
      <c r="B22" s="1974"/>
      <c r="C22" s="1974"/>
      <c r="E22" s="2011" t="s">
        <v>476</v>
      </c>
      <c r="F22" s="2011"/>
      <c r="M22" s="2011" t="s">
        <v>200</v>
      </c>
      <c r="N22" s="2011"/>
    </row>
    <row r="24" spans="1:14" ht="17.7">
      <c r="A24" s="1974" t="s">
        <v>673</v>
      </c>
      <c r="B24" s="1974"/>
      <c r="C24" s="1974"/>
      <c r="E24" s="661">
        <v>1.5</v>
      </c>
      <c r="M24" s="661">
        <v>1.5</v>
      </c>
    </row>
    <row r="26" spans="1:14" ht="17.7">
      <c r="A26" s="1974" t="s">
        <v>674</v>
      </c>
      <c r="B26" s="1974"/>
      <c r="C26" s="1974"/>
      <c r="E26" s="198" t="s">
        <v>475</v>
      </c>
      <c r="M26" s="198" t="s">
        <v>475</v>
      </c>
    </row>
    <row r="28" spans="1:14" ht="14.4">
      <c r="A28" s="1974" t="s">
        <v>675</v>
      </c>
      <c r="B28" s="1974"/>
      <c r="C28" s="1974"/>
      <c r="D28" s="2007" t="s">
        <v>676</v>
      </c>
      <c r="E28" s="2007"/>
      <c r="F28" s="2007"/>
      <c r="L28" s="2007" t="s">
        <v>676</v>
      </c>
      <c r="M28" s="2007"/>
      <c r="N28" s="2007"/>
    </row>
    <row r="29" spans="1:14">
      <c r="A29" s="1540"/>
      <c r="B29" s="1540"/>
    </row>
    <row r="30" spans="1:14" ht="14.4">
      <c r="A30" s="1974" t="s">
        <v>677</v>
      </c>
      <c r="B30" s="1974"/>
      <c r="C30" s="1974"/>
      <c r="D30" s="2007" t="s">
        <v>678</v>
      </c>
      <c r="E30" s="2007"/>
      <c r="F30" s="2007"/>
      <c r="L30" s="2007" t="s">
        <v>678</v>
      </c>
      <c r="M30" s="2007"/>
      <c r="N30" s="2007"/>
    </row>
    <row r="32" spans="1:14">
      <c r="A32" s="1540"/>
      <c r="B32" s="1724"/>
      <c r="C32" s="1724"/>
      <c r="D32" s="1540"/>
      <c r="E32" s="1724"/>
      <c r="F32" s="1724"/>
      <c r="G32" s="1724"/>
      <c r="H32" s="1724"/>
    </row>
    <row r="33" spans="1:17" ht="14.4">
      <c r="A33" s="1551" t="s">
        <v>679</v>
      </c>
      <c r="B33" s="1551"/>
      <c r="C33" s="1551"/>
      <c r="D33" s="2006" t="s">
        <v>680</v>
      </c>
      <c r="E33" s="2008"/>
      <c r="F33" s="2008"/>
      <c r="G33" s="2008"/>
      <c r="H33" s="2008"/>
      <c r="J33" s="2006" t="s">
        <v>681</v>
      </c>
      <c r="K33" s="2008"/>
      <c r="L33" s="2008"/>
      <c r="M33" s="2008"/>
      <c r="N33" s="2008"/>
      <c r="O33" s="2008"/>
      <c r="P33" s="2008"/>
      <c r="Q33" s="2008"/>
    </row>
    <row r="34" spans="1:17" ht="14.4">
      <c r="A34" s="1551" t="s">
        <v>682</v>
      </c>
      <c r="B34" s="1551"/>
      <c r="C34" s="1551"/>
      <c r="D34" s="2009" t="s">
        <v>683</v>
      </c>
      <c r="E34" s="2008"/>
      <c r="F34" s="2008"/>
      <c r="G34" s="2008"/>
      <c r="H34" s="2008"/>
      <c r="J34" s="2006" t="s">
        <v>684</v>
      </c>
      <c r="K34" s="2008"/>
      <c r="L34" s="2008"/>
      <c r="M34" s="2008"/>
      <c r="N34" s="2008"/>
      <c r="O34" s="2008"/>
      <c r="P34" s="2008"/>
      <c r="Q34" s="2008"/>
    </row>
    <row r="37" spans="1:17" ht="14.4">
      <c r="A37" s="1551" t="s">
        <v>685</v>
      </c>
      <c r="B37" s="1551"/>
      <c r="C37" s="1551"/>
      <c r="D37" s="2006" t="s">
        <v>686</v>
      </c>
      <c r="E37" s="2008"/>
      <c r="F37" s="2008"/>
      <c r="G37" s="2008"/>
      <c r="H37" s="2008"/>
      <c r="J37" s="2006" t="s">
        <v>687</v>
      </c>
      <c r="K37" s="2008"/>
      <c r="L37" s="2008"/>
      <c r="M37" s="2008"/>
      <c r="N37" s="2008"/>
      <c r="O37" s="2008"/>
      <c r="P37" s="2008"/>
      <c r="Q37" s="2008"/>
    </row>
    <row r="38" spans="1:17" ht="14.4">
      <c r="A38" s="1551" t="s">
        <v>688</v>
      </c>
      <c r="B38" s="1551"/>
      <c r="C38" s="1551"/>
      <c r="D38" s="2009" t="s">
        <v>689</v>
      </c>
      <c r="E38" s="2008"/>
      <c r="F38" s="2008"/>
      <c r="G38" s="2008"/>
      <c r="H38" s="2008"/>
      <c r="J38" s="2006" t="s">
        <v>690</v>
      </c>
      <c r="K38" s="2008"/>
      <c r="L38" s="2008"/>
      <c r="M38" s="2008"/>
      <c r="N38" s="2008"/>
      <c r="O38" s="2008"/>
      <c r="P38" s="2008"/>
      <c r="Q38" s="2008"/>
    </row>
    <row r="40" spans="1:17">
      <c r="N40" s="89" t="s">
        <v>691</v>
      </c>
    </row>
    <row r="41" spans="1:17" ht="17.7">
      <c r="A41" s="1974" t="s">
        <v>692</v>
      </c>
      <c r="B41" s="1974"/>
      <c r="C41" s="1974"/>
      <c r="E41" s="666" t="s">
        <v>693</v>
      </c>
      <c r="M41" s="661">
        <v>0.1</v>
      </c>
    </row>
    <row r="42" spans="1:17" ht="17.7">
      <c r="D42" s="663"/>
      <c r="E42" s="198" t="s">
        <v>694</v>
      </c>
      <c r="F42" s="665"/>
      <c r="G42" s="665"/>
      <c r="M42" s="198" t="s">
        <v>695</v>
      </c>
    </row>
  </sheetData>
  <mergeCells count="52">
    <mergeCell ref="A18:C18"/>
    <mergeCell ref="A8:C8"/>
    <mergeCell ref="A6:C6"/>
    <mergeCell ref="A24:C24"/>
    <mergeCell ref="A26:C26"/>
    <mergeCell ref="A15:C15"/>
    <mergeCell ref="A16:C16"/>
    <mergeCell ref="A20:C20"/>
    <mergeCell ref="J34:Q34"/>
    <mergeCell ref="A37:C37"/>
    <mergeCell ref="A38:C38"/>
    <mergeCell ref="D37:H37"/>
    <mergeCell ref="D38:H38"/>
    <mergeCell ref="J37:Q37"/>
    <mergeCell ref="J38:Q38"/>
    <mergeCell ref="A1:R1"/>
    <mergeCell ref="B4:H4"/>
    <mergeCell ref="J4:P4"/>
    <mergeCell ref="A10:C10"/>
    <mergeCell ref="A29:B29"/>
    <mergeCell ref="A14:B14"/>
    <mergeCell ref="A22:C22"/>
    <mergeCell ref="E22:F22"/>
    <mergeCell ref="M22:N22"/>
    <mergeCell ref="D11:H11"/>
    <mergeCell ref="D12:H12"/>
    <mergeCell ref="D13:H13"/>
    <mergeCell ref="L10:P10"/>
    <mergeCell ref="L11:P11"/>
    <mergeCell ref="D28:F28"/>
    <mergeCell ref="L28:N28"/>
    <mergeCell ref="I10:J10"/>
    <mergeCell ref="I11:J11"/>
    <mergeCell ref="I12:J12"/>
    <mergeCell ref="I13:J13"/>
    <mergeCell ref="D10:H10"/>
    <mergeCell ref="A41:C41"/>
    <mergeCell ref="D16:F16"/>
    <mergeCell ref="L16:N16"/>
    <mergeCell ref="L12:P12"/>
    <mergeCell ref="L13:P13"/>
    <mergeCell ref="D30:F30"/>
    <mergeCell ref="L30:N30"/>
    <mergeCell ref="A28:C28"/>
    <mergeCell ref="A30:C30"/>
    <mergeCell ref="A32:C32"/>
    <mergeCell ref="D32:H32"/>
    <mergeCell ref="A33:C33"/>
    <mergeCell ref="A34:C34"/>
    <mergeCell ref="D33:H33"/>
    <mergeCell ref="D34:H34"/>
    <mergeCell ref="J33:Q3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N302"/>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72</v>
      </c>
      <c r="B1" s="452" t="s">
        <v>73</v>
      </c>
      <c r="C1" s="133" t="s">
        <v>74</v>
      </c>
      <c r="D1" s="2013" t="s">
        <v>696</v>
      </c>
      <c r="E1" s="2014"/>
      <c r="F1" s="2014"/>
      <c r="G1" s="2014"/>
      <c r="H1" s="2014"/>
      <c r="I1" s="2014"/>
      <c r="J1" s="2014"/>
      <c r="K1" s="2014"/>
      <c r="L1" s="2014"/>
      <c r="M1" s="2014"/>
      <c r="N1" s="2014"/>
    </row>
    <row r="2" spans="1:14" ht="18.350000000000001">
      <c r="A2" s="296">
        <f>'Egan Asset Summary'!O18</f>
        <v>321628.61</v>
      </c>
      <c r="B2" s="453" t="e">
        <f>#REF!</f>
        <v>#REF!</v>
      </c>
      <c r="C2" s="297" t="e">
        <f>#REF!</f>
        <v>#REF!</v>
      </c>
      <c r="D2" s="2015"/>
      <c r="E2" s="2015"/>
      <c r="F2" s="2015"/>
      <c r="G2" s="2015"/>
      <c r="H2" s="2015"/>
      <c r="I2" s="2015"/>
      <c r="J2" s="2015"/>
      <c r="K2" s="2015"/>
      <c r="L2" s="2015"/>
      <c r="M2" s="2015"/>
      <c r="N2" s="462"/>
    </row>
    <row r="3" spans="1:14" ht="26.2">
      <c r="A3" s="34"/>
      <c r="B3" s="454"/>
      <c r="C3" s="35"/>
      <c r="D3" s="2016" t="s">
        <v>697</v>
      </c>
      <c r="E3" s="2017"/>
      <c r="F3" s="2017"/>
      <c r="G3" s="2017"/>
      <c r="H3" s="2017"/>
      <c r="I3" s="2017"/>
      <c r="J3" s="647">
        <f>'Egan Asset Summary'!O3</f>
        <v>0</v>
      </c>
      <c r="K3" s="462"/>
      <c r="L3" s="667"/>
      <c r="M3" s="667"/>
      <c r="N3" s="667"/>
    </row>
    <row r="4" spans="1:14" ht="14.4">
      <c r="A4" s="34"/>
      <c r="B4" s="118"/>
      <c r="C4" s="35"/>
      <c r="D4" s="75"/>
      <c r="E4" s="75"/>
      <c r="F4" s="75"/>
      <c r="G4" s="75"/>
      <c r="I4" s="1589"/>
      <c r="J4" s="1590"/>
      <c r="K4" s="1590"/>
      <c r="L4" s="1590"/>
      <c r="M4" s="1590"/>
    </row>
    <row r="5" spans="1:14" ht="20.3">
      <c r="A5" s="34"/>
      <c r="B5" s="118"/>
      <c r="C5" s="35"/>
      <c r="D5" s="75"/>
      <c r="E5" s="75"/>
      <c r="F5" s="75"/>
      <c r="G5" s="75"/>
      <c r="I5" s="1576" t="s">
        <v>698</v>
      </c>
      <c r="J5" s="1576"/>
      <c r="K5" s="1576"/>
      <c r="L5" s="1576"/>
      <c r="M5" s="1576"/>
    </row>
    <row r="6" spans="1:14" ht="30.8">
      <c r="I6" s="2018" t="s">
        <v>699</v>
      </c>
      <c r="J6" s="2019"/>
      <c r="K6" s="2019"/>
      <c r="L6" s="2019"/>
      <c r="M6" s="2019"/>
    </row>
    <row r="7" spans="1:14" ht="20.3">
      <c r="I7" s="2020" t="s">
        <v>700</v>
      </c>
      <c r="J7" s="2020"/>
      <c r="K7" s="2020"/>
      <c r="L7" s="2020"/>
      <c r="M7" s="652"/>
    </row>
    <row r="8" spans="1:14" ht="20.3">
      <c r="I8" s="636"/>
      <c r="J8" s="641" t="s">
        <v>701</v>
      </c>
      <c r="K8" s="642" t="s">
        <v>702</v>
      </c>
      <c r="L8" s="643" t="s">
        <v>703</v>
      </c>
      <c r="M8" s="641" t="s">
        <v>704</v>
      </c>
    </row>
    <row r="9" spans="1:14" ht="18.350000000000001">
      <c r="I9" s="320" t="s">
        <v>83</v>
      </c>
      <c r="J9" s="644">
        <f>J3</f>
        <v>0</v>
      </c>
      <c r="K9" s="644">
        <f>J3</f>
        <v>0</v>
      </c>
      <c r="L9" s="644">
        <f>J3</f>
        <v>0</v>
      </c>
      <c r="M9" s="640" t="s">
        <v>705</v>
      </c>
    </row>
    <row r="10" spans="1:14" ht="17.7">
      <c r="I10" s="238" t="s">
        <v>84</v>
      </c>
      <c r="J10" s="649" t="e">
        <f>#REF!</f>
        <v>#REF!</v>
      </c>
      <c r="K10" s="379" t="e">
        <f>#REF!</f>
        <v>#REF!</v>
      </c>
      <c r="L10" s="241" t="e">
        <f>#REF!</f>
        <v>#REF!</v>
      </c>
      <c r="M10" s="651" t="e">
        <f>#REF!</f>
        <v>#REF!</v>
      </c>
    </row>
    <row r="11" spans="1:14" ht="18.350000000000001">
      <c r="I11" s="634" t="s">
        <v>96</v>
      </c>
      <c r="J11" s="645" t="e">
        <f>J9-J10</f>
        <v>#REF!</v>
      </c>
      <c r="K11" s="646" t="e">
        <f>K9-K10</f>
        <v>#REF!</v>
      </c>
      <c r="L11" s="646" t="e">
        <f>L9-L10</f>
        <v>#REF!</v>
      </c>
      <c r="M11" s="286"/>
    </row>
    <row r="12" spans="1:14" ht="15.75">
      <c r="I12" s="2021"/>
      <c r="J12" s="2021"/>
      <c r="K12" s="2021"/>
      <c r="L12" s="2021"/>
      <c r="M12" s="2021"/>
    </row>
    <row r="13" spans="1:14" ht="20.3">
      <c r="I13" s="2020" t="s">
        <v>706</v>
      </c>
      <c r="J13" s="2020"/>
      <c r="K13" s="2020"/>
      <c r="L13" s="2020"/>
      <c r="M13" s="652"/>
    </row>
    <row r="14" spans="1:14" ht="20.3">
      <c r="I14" s="633"/>
      <c r="J14" s="641" t="s">
        <v>701</v>
      </c>
      <c r="K14" s="642" t="s">
        <v>702</v>
      </c>
      <c r="L14" s="643" t="s">
        <v>703</v>
      </c>
      <c r="M14" s="641" t="s">
        <v>704</v>
      </c>
    </row>
    <row r="15" spans="1:14" ht="18.350000000000001">
      <c r="I15" s="320" t="s">
        <v>83</v>
      </c>
      <c r="J15" s="644">
        <f>J9</f>
        <v>0</v>
      </c>
      <c r="K15" s="644">
        <f>J9</f>
        <v>0</v>
      </c>
      <c r="L15" s="644">
        <f>J9</f>
        <v>0</v>
      </c>
      <c r="M15" s="640" t="s">
        <v>705</v>
      </c>
    </row>
    <row r="16" spans="1:14" ht="17.7">
      <c r="I16" s="238" t="s">
        <v>84</v>
      </c>
      <c r="J16" s="650" t="e">
        <f>#REF!</f>
        <v>#REF!</v>
      </c>
      <c r="K16" s="379" t="e">
        <f>K10</f>
        <v>#REF!</v>
      </c>
      <c r="L16" s="241" t="e">
        <f>L10</f>
        <v>#REF!</v>
      </c>
      <c r="M16" s="651" t="e">
        <f>#REF!</f>
        <v>#REF!</v>
      </c>
    </row>
    <row r="17" spans="9:14" ht="18.350000000000001">
      <c r="I17" s="634" t="s">
        <v>96</v>
      </c>
      <c r="J17" s="645" t="e">
        <f>J15-J16</f>
        <v>#REF!</v>
      </c>
      <c r="K17" s="646" t="e">
        <f>K15-K16</f>
        <v>#REF!</v>
      </c>
      <c r="L17" s="646" t="e">
        <f>L15-L16</f>
        <v>#REF!</v>
      </c>
      <c r="M17" s="288"/>
    </row>
    <row r="18" spans="9:14" ht="14.4">
      <c r="I18" s="2022"/>
      <c r="J18" s="2022"/>
      <c r="K18" s="2022"/>
      <c r="L18" s="2022"/>
      <c r="M18" s="2022"/>
    </row>
    <row r="19" spans="9:14" ht="20.3">
      <c r="I19" s="2020" t="s">
        <v>707</v>
      </c>
      <c r="J19" s="2020"/>
      <c r="K19" s="2020"/>
      <c r="L19" s="2020"/>
      <c r="M19" s="652"/>
    </row>
    <row r="20" spans="9:14" ht="20.3">
      <c r="I20" s="633"/>
      <c r="J20" s="641" t="s">
        <v>701</v>
      </c>
      <c r="K20" s="642" t="s">
        <v>702</v>
      </c>
      <c r="L20" s="643" t="s">
        <v>703</v>
      </c>
      <c r="M20" s="641" t="s">
        <v>704</v>
      </c>
    </row>
    <row r="21" spans="9:14" ht="18" customHeight="1">
      <c r="I21" s="320" t="s">
        <v>83</v>
      </c>
      <c r="J21" s="644">
        <f>J15</f>
        <v>0</v>
      </c>
      <c r="K21" s="644">
        <f>J15</f>
        <v>0</v>
      </c>
      <c r="L21" s="644">
        <f>J15</f>
        <v>0</v>
      </c>
      <c r="M21" s="640" t="s">
        <v>705</v>
      </c>
    </row>
    <row r="22" spans="9:14" ht="17.7">
      <c r="I22" s="238" t="s">
        <v>84</v>
      </c>
      <c r="J22" s="650" t="e">
        <f>#REF!</f>
        <v>#REF!</v>
      </c>
      <c r="K22" s="379" t="e">
        <f>K16</f>
        <v>#REF!</v>
      </c>
      <c r="L22" s="241" t="e">
        <f>L16</f>
        <v>#REF!</v>
      </c>
      <c r="M22" s="651" t="e">
        <f>#REF!</f>
        <v>#REF!</v>
      </c>
    </row>
    <row r="23" spans="9:14" ht="18.350000000000001">
      <c r="I23" s="634" t="s">
        <v>96</v>
      </c>
      <c r="J23" s="645" t="e">
        <f>J21-J22</f>
        <v>#REF!</v>
      </c>
      <c r="K23" s="646" t="e">
        <f>K21-K22</f>
        <v>#REF!</v>
      </c>
      <c r="L23" s="646" t="e">
        <f>L21-L22</f>
        <v>#REF!</v>
      </c>
      <c r="M23" s="262"/>
    </row>
    <row r="24" spans="9:14" ht="15.05">
      <c r="I24" s="2012"/>
      <c r="J24" s="2012"/>
      <c r="K24" s="2012"/>
      <c r="L24" s="2012"/>
      <c r="M24" s="2012"/>
    </row>
    <row r="25" spans="9:14" ht="18.649999999999999" customHeight="1">
      <c r="I25" s="2020" t="s">
        <v>708</v>
      </c>
      <c r="J25" s="2020"/>
      <c r="K25" s="2020"/>
      <c r="L25" s="2020"/>
      <c r="M25" s="652"/>
    </row>
    <row r="26" spans="9:14" ht="15.05" customHeight="1">
      <c r="I26" s="633"/>
      <c r="J26" s="641" t="s">
        <v>701</v>
      </c>
      <c r="K26" s="642" t="s">
        <v>702</v>
      </c>
      <c r="L26" s="643" t="s">
        <v>703</v>
      </c>
      <c r="M26" s="641" t="s">
        <v>704</v>
      </c>
      <c r="N26" s="89"/>
    </row>
    <row r="27" spans="9:14" ht="13.6" customHeight="1">
      <c r="I27" s="320" t="s">
        <v>83</v>
      </c>
      <c r="J27" s="644">
        <f>J3</f>
        <v>0</v>
      </c>
      <c r="K27" s="644">
        <f>J3</f>
        <v>0</v>
      </c>
      <c r="L27" s="644">
        <f>J3</f>
        <v>0</v>
      </c>
      <c r="M27" s="640" t="s">
        <v>705</v>
      </c>
    </row>
    <row r="28" spans="9:14" ht="17.7">
      <c r="I28" s="238" t="s">
        <v>84</v>
      </c>
      <c r="J28" s="650" t="e">
        <f>#REF!</f>
        <v>#REF!</v>
      </c>
      <c r="K28" s="379" t="e">
        <f>K22</f>
        <v>#REF!</v>
      </c>
      <c r="L28" s="241" t="e">
        <f>L22</f>
        <v>#REF!</v>
      </c>
      <c r="M28" s="651" t="e">
        <f>#REF!</f>
        <v>#REF!</v>
      </c>
    </row>
    <row r="29" spans="9:14" ht="18.350000000000001">
      <c r="I29" s="634" t="s">
        <v>96</v>
      </c>
      <c r="J29" s="645" t="e">
        <f>J27-J28</f>
        <v>#REF!</v>
      </c>
      <c r="K29" s="646" t="e">
        <f>K27-K28</f>
        <v>#REF!</v>
      </c>
      <c r="L29" s="646" t="e">
        <f>L27-L28</f>
        <v>#REF!</v>
      </c>
      <c r="M29" s="262"/>
    </row>
    <row r="30" spans="9:14" ht="18" customHeight="1">
      <c r="I30" s="1724"/>
      <c r="J30" s="1724"/>
      <c r="K30" s="1724"/>
      <c r="L30" s="1724"/>
      <c r="M30" s="1724"/>
    </row>
    <row r="31" spans="9:14" ht="18" customHeight="1">
      <c r="I31" s="2024"/>
      <c r="J31" s="2024"/>
      <c r="K31" s="2024"/>
      <c r="L31" s="2024"/>
      <c r="M31" s="2024"/>
    </row>
    <row r="32" spans="9:14" ht="17.7">
      <c r="I32" s="1729" t="s">
        <v>709</v>
      </c>
      <c r="J32" s="1729"/>
      <c r="K32" s="1729"/>
      <c r="L32" s="1729"/>
      <c r="M32" s="1729"/>
    </row>
    <row r="33" spans="9:13" ht="18.649999999999999" customHeight="1">
      <c r="I33" s="2025"/>
      <c r="J33" s="2025"/>
      <c r="K33" s="2025"/>
      <c r="L33" s="2025"/>
      <c r="M33" s="2025"/>
    </row>
    <row r="34" spans="9:13" ht="18.649999999999999" customHeight="1">
      <c r="I34" s="2023" t="s">
        <v>710</v>
      </c>
      <c r="J34" s="2023"/>
      <c r="K34" s="2023"/>
      <c r="L34" s="2023"/>
      <c r="M34" s="2023"/>
    </row>
    <row r="35" spans="9:13" ht="17.7">
      <c r="I35" s="2023" t="s">
        <v>711</v>
      </c>
      <c r="J35" s="2023"/>
      <c r="K35" s="2023"/>
      <c r="L35" s="2023"/>
      <c r="M35" s="2023"/>
    </row>
    <row r="36" spans="9:13" ht="17.7">
      <c r="I36" s="2023" t="s">
        <v>712</v>
      </c>
      <c r="J36" s="2023"/>
      <c r="K36" s="2023"/>
      <c r="L36" s="2023"/>
      <c r="M36" s="2023"/>
    </row>
    <row r="37" spans="9:13" ht="15.05">
      <c r="I37" s="1575"/>
      <c r="J37" s="1575"/>
      <c r="K37" s="1575"/>
      <c r="L37" s="1575"/>
      <c r="M37" s="1575"/>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c r="M50"/>
    </row>
    <row r="51" spans="1:13">
      <c r="M51"/>
    </row>
    <row r="52" spans="1:13">
      <c r="M52"/>
    </row>
    <row r="53" spans="1:13">
      <c r="M53"/>
    </row>
    <row r="54" spans="1:13">
      <c r="M54"/>
    </row>
    <row r="55" spans="1:13" ht="15.05">
      <c r="A55" s="281"/>
      <c r="B55" s="281"/>
      <c r="C55" s="281"/>
      <c r="D55" s="281"/>
      <c r="E55" s="281"/>
      <c r="M55"/>
    </row>
    <row r="56" spans="1:13" ht="15.05">
      <c r="A56" s="282"/>
      <c r="B56" s="282"/>
      <c r="C56" s="282"/>
      <c r="D56" s="282"/>
      <c r="E56" s="282"/>
      <c r="M56"/>
    </row>
    <row r="57" spans="1:13" ht="15.05">
      <c r="A57" s="282"/>
      <c r="B57" s="282"/>
      <c r="C57" s="282"/>
      <c r="D57" s="282"/>
      <c r="E57" s="282"/>
      <c r="M57"/>
    </row>
    <row r="58" spans="1:13" ht="15.05">
      <c r="A58" s="282"/>
      <c r="B58" s="282"/>
      <c r="C58" s="282"/>
      <c r="D58" s="282"/>
      <c r="E58" s="282"/>
      <c r="M58"/>
    </row>
    <row r="59" spans="1:13">
      <c r="M59"/>
    </row>
    <row r="60" spans="1:13">
      <c r="M60"/>
    </row>
    <row r="61" spans="1:13">
      <c r="M61"/>
    </row>
    <row r="62" spans="1:13">
      <c r="M62"/>
    </row>
    <row r="63" spans="1:13">
      <c r="M63"/>
    </row>
    <row r="64" spans="1:13">
      <c r="M64"/>
    </row>
    <row r="65" spans="1:13">
      <c r="M65"/>
    </row>
    <row r="66" spans="1:13">
      <c r="M66"/>
    </row>
    <row r="67" spans="1:13">
      <c r="M67"/>
    </row>
    <row r="68" spans="1:13">
      <c r="M68"/>
    </row>
    <row r="69" spans="1:13">
      <c r="M69"/>
    </row>
    <row r="70" spans="1:13">
      <c r="M70"/>
    </row>
    <row r="71" spans="1:13">
      <c r="M71"/>
    </row>
    <row r="72" spans="1:13">
      <c r="A72" s="89" t="s">
        <v>99</v>
      </c>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row r="299" spans="13:13">
      <c r="M299"/>
    </row>
    <row r="300" spans="13:13">
      <c r="M300"/>
    </row>
    <row r="301" spans="13:13">
      <c r="M301"/>
    </row>
    <row r="302" spans="13:13">
      <c r="M302"/>
    </row>
  </sheetData>
  <mergeCells count="21">
    <mergeCell ref="I35:M35"/>
    <mergeCell ref="I36:M36"/>
    <mergeCell ref="I37:M37"/>
    <mergeCell ref="I25:L25"/>
    <mergeCell ref="I30:M30"/>
    <mergeCell ref="I31:M31"/>
    <mergeCell ref="I32:M32"/>
    <mergeCell ref="I33:M33"/>
    <mergeCell ref="I34:M34"/>
    <mergeCell ref="I24:M24"/>
    <mergeCell ref="D1:N1"/>
    <mergeCell ref="D2:M2"/>
    <mergeCell ref="D3:I3"/>
    <mergeCell ref="I4:M4"/>
    <mergeCell ref="I5:M5"/>
    <mergeCell ref="I6:M6"/>
    <mergeCell ref="I7:L7"/>
    <mergeCell ref="I12:M12"/>
    <mergeCell ref="I13:L13"/>
    <mergeCell ref="I18:M18"/>
    <mergeCell ref="I19:L19"/>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32"/>
      <c r="D4" s="2033"/>
      <c r="E4" s="2033"/>
      <c r="F4" s="2033"/>
      <c r="G4" s="2033"/>
      <c r="H4" s="2033"/>
      <c r="I4" s="2033"/>
      <c r="J4" s="2033"/>
      <c r="K4" s="2033"/>
      <c r="L4" s="2033"/>
      <c r="M4" s="2033"/>
      <c r="N4" s="211"/>
    </row>
    <row r="5" spans="1:22" ht="15.05">
      <c r="A5" s="211"/>
      <c r="B5" s="209"/>
      <c r="C5" s="599"/>
      <c r="D5" s="2031" t="s">
        <v>716</v>
      </c>
      <c r="E5" s="2031"/>
      <c r="F5" s="2031"/>
      <c r="G5" s="2031"/>
      <c r="H5" s="2031"/>
      <c r="I5" s="2031"/>
      <c r="J5" s="2031"/>
      <c r="K5" s="2031"/>
      <c r="L5" s="607">
        <f>'Egan Asset Summary'!L4</f>
        <v>0</v>
      </c>
      <c r="M5" s="608">
        <f>'Egan Asset Summary'!O4</f>
        <v>0</v>
      </c>
      <c r="N5" s="211"/>
    </row>
    <row r="6" spans="1:22" ht="15.05">
      <c r="A6" s="211"/>
      <c r="B6" s="209"/>
      <c r="C6" s="599"/>
      <c r="D6" s="2026" t="s">
        <v>717</v>
      </c>
      <c r="E6" s="2026"/>
      <c r="F6" s="2026"/>
      <c r="G6" s="2026"/>
      <c r="H6" s="2026"/>
      <c r="I6" s="2026"/>
      <c r="J6" s="2026"/>
      <c r="K6" s="2026"/>
      <c r="L6" s="607">
        <f>'Egan Asset Summary'!M5</f>
        <v>0</v>
      </c>
      <c r="M6" s="608">
        <v>64</v>
      </c>
      <c r="N6" s="211"/>
    </row>
    <row r="7" spans="1:22">
      <c r="A7" s="600"/>
      <c r="B7" s="209"/>
      <c r="C7" s="599"/>
      <c r="D7" s="2027"/>
      <c r="E7" s="2028"/>
      <c r="F7" s="2028"/>
      <c r="G7" s="2028"/>
      <c r="H7" s="2028"/>
      <c r="I7" s="2028"/>
      <c r="J7" s="2029"/>
      <c r="K7" s="2028"/>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725</v>
      </c>
      <c r="K10" s="293" t="s">
        <v>726</v>
      </c>
      <c r="L10" s="293" t="s">
        <v>727</v>
      </c>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6434.4</v>
      </c>
      <c r="L28" s="219">
        <v>7401.83</v>
      </c>
      <c r="M28" s="45">
        <f t="shared" si="0"/>
        <v>105883.54999999999</v>
      </c>
      <c r="N28" s="219">
        <v>0</v>
      </c>
    </row>
    <row r="29" spans="1:14">
      <c r="A29" s="119">
        <f t="shared" si="2"/>
        <v>2035</v>
      </c>
      <c r="B29" s="148">
        <f t="shared" si="2"/>
        <v>18</v>
      </c>
      <c r="C29" s="119">
        <f t="shared" si="2"/>
        <v>18</v>
      </c>
      <c r="D29" s="190">
        <v>31968</v>
      </c>
      <c r="E29" s="190">
        <v>15984</v>
      </c>
      <c r="F29" s="219">
        <v>0</v>
      </c>
      <c r="G29" s="219">
        <v>0</v>
      </c>
      <c r="H29" s="219">
        <v>33651.120000000003</v>
      </c>
      <c r="I29" s="219">
        <v>4853.95</v>
      </c>
      <c r="J29" s="219">
        <v>5590.25</v>
      </c>
      <c r="K29" s="219">
        <v>6434.4</v>
      </c>
      <c r="L29" s="219">
        <v>7401.83</v>
      </c>
      <c r="M29" s="45">
        <f t="shared" si="0"/>
        <v>105883.54999999999</v>
      </c>
      <c r="N29" s="219">
        <v>0</v>
      </c>
    </row>
    <row r="30" spans="1:14">
      <c r="A30" s="119">
        <f t="shared" si="2"/>
        <v>2036</v>
      </c>
      <c r="B30" s="119">
        <f t="shared" si="2"/>
        <v>19</v>
      </c>
      <c r="C30" s="119">
        <f t="shared" si="2"/>
        <v>19</v>
      </c>
      <c r="D30" s="190">
        <v>31968</v>
      </c>
      <c r="E30" s="190">
        <v>15984</v>
      </c>
      <c r="F30" s="219">
        <v>0</v>
      </c>
      <c r="G30" s="219">
        <v>0</v>
      </c>
      <c r="H30" s="219">
        <v>33651.120000000003</v>
      </c>
      <c r="I30" s="219">
        <v>4853.95</v>
      </c>
      <c r="J30" s="219">
        <v>5590.25</v>
      </c>
      <c r="K30" s="219">
        <v>6434.4</v>
      </c>
      <c r="L30" s="219">
        <v>7401.83</v>
      </c>
      <c r="M30" s="45">
        <f t="shared" si="0"/>
        <v>105883.54999999999</v>
      </c>
      <c r="N30" s="219">
        <v>0</v>
      </c>
    </row>
    <row r="31" spans="1:14">
      <c r="A31" s="119">
        <f t="shared" si="2"/>
        <v>2037</v>
      </c>
      <c r="B31" s="119">
        <f t="shared" si="2"/>
        <v>20</v>
      </c>
      <c r="C31" s="119">
        <f t="shared" si="2"/>
        <v>20</v>
      </c>
      <c r="D31" s="190">
        <v>31968</v>
      </c>
      <c r="E31" s="190">
        <v>15984</v>
      </c>
      <c r="F31" s="219">
        <v>0</v>
      </c>
      <c r="G31" s="219">
        <v>0</v>
      </c>
      <c r="H31" s="219">
        <v>33651.120000000003</v>
      </c>
      <c r="I31" s="219">
        <v>4853.95</v>
      </c>
      <c r="J31" s="219">
        <v>5590.25</v>
      </c>
      <c r="K31" s="219">
        <v>6434.4</v>
      </c>
      <c r="L31" s="219">
        <v>7401.83</v>
      </c>
      <c r="M31" s="45">
        <f t="shared" si="0"/>
        <v>105883.54999999999</v>
      </c>
      <c r="N31" s="219">
        <v>0</v>
      </c>
    </row>
    <row r="32" spans="1:14">
      <c r="A32" s="119">
        <f t="shared" si="2"/>
        <v>2038</v>
      </c>
      <c r="B32" s="119">
        <f t="shared" si="2"/>
        <v>21</v>
      </c>
      <c r="C32" s="148">
        <f t="shared" si="2"/>
        <v>21</v>
      </c>
      <c r="D32" s="190">
        <v>31968</v>
      </c>
      <c r="E32" s="190">
        <v>15984</v>
      </c>
      <c r="F32" s="219">
        <v>0</v>
      </c>
      <c r="G32" s="219">
        <v>0</v>
      </c>
      <c r="H32" s="219">
        <v>33651.120000000003</v>
      </c>
      <c r="I32" s="219">
        <v>4853.95</v>
      </c>
      <c r="J32" s="219">
        <v>5590.25</v>
      </c>
      <c r="K32" s="219">
        <v>6434.4</v>
      </c>
      <c r="L32" s="219">
        <v>7401.83</v>
      </c>
      <c r="M32" s="45">
        <f t="shared" si="0"/>
        <v>105883.54999999999</v>
      </c>
      <c r="N32" s="219">
        <v>0</v>
      </c>
    </row>
    <row r="33" spans="1:22">
      <c r="A33" s="119">
        <f t="shared" si="2"/>
        <v>2039</v>
      </c>
      <c r="B33" s="119">
        <f t="shared" si="2"/>
        <v>22</v>
      </c>
      <c r="C33" s="119">
        <f t="shared" si="2"/>
        <v>22</v>
      </c>
      <c r="D33" s="190">
        <v>31968</v>
      </c>
      <c r="E33" s="190">
        <v>15984</v>
      </c>
      <c r="F33" s="219">
        <v>0</v>
      </c>
      <c r="G33" s="219">
        <v>0</v>
      </c>
      <c r="H33" s="219">
        <v>33651.120000000003</v>
      </c>
      <c r="I33" s="219">
        <v>4853.95</v>
      </c>
      <c r="J33" s="219">
        <v>5590.25</v>
      </c>
      <c r="K33" s="219">
        <v>6434.4</v>
      </c>
      <c r="L33" s="219">
        <v>7401.83</v>
      </c>
      <c r="M33" s="45">
        <f t="shared" si="0"/>
        <v>105883.54999999999</v>
      </c>
      <c r="N33" s="219">
        <v>0</v>
      </c>
    </row>
    <row r="34" spans="1:22">
      <c r="A34" s="119">
        <f t="shared" si="2"/>
        <v>2040</v>
      </c>
      <c r="B34" s="119">
        <f t="shared" si="2"/>
        <v>23</v>
      </c>
      <c r="C34" s="119">
        <f t="shared" si="2"/>
        <v>23</v>
      </c>
      <c r="D34" s="190">
        <v>31968</v>
      </c>
      <c r="E34" s="190">
        <v>15984</v>
      </c>
      <c r="F34" s="219">
        <v>0</v>
      </c>
      <c r="G34" s="219">
        <v>0</v>
      </c>
      <c r="H34" s="219">
        <v>33651.120000000003</v>
      </c>
      <c r="I34" s="219">
        <v>4853.95</v>
      </c>
      <c r="J34" s="219">
        <v>5590.25</v>
      </c>
      <c r="K34" s="219">
        <v>6434.4</v>
      </c>
      <c r="L34" s="219">
        <v>7401.83</v>
      </c>
      <c r="M34" s="45">
        <f t="shared" si="0"/>
        <v>105883.54999999999</v>
      </c>
      <c r="N34" s="219">
        <v>0</v>
      </c>
    </row>
    <row r="35" spans="1:22">
      <c r="A35" s="119">
        <f t="shared" si="2"/>
        <v>2041</v>
      </c>
      <c r="B35" s="119">
        <f t="shared" si="2"/>
        <v>24</v>
      </c>
      <c r="C35" s="119">
        <f t="shared" si="2"/>
        <v>24</v>
      </c>
      <c r="D35" s="190">
        <v>31968</v>
      </c>
      <c r="E35" s="190">
        <v>15984</v>
      </c>
      <c r="F35" s="219">
        <v>0</v>
      </c>
      <c r="G35" s="219">
        <v>0</v>
      </c>
      <c r="H35" s="219">
        <v>33651.120000000003</v>
      </c>
      <c r="I35" s="219">
        <v>4853.95</v>
      </c>
      <c r="J35" s="219">
        <v>5590.25</v>
      </c>
      <c r="K35" s="219">
        <v>6434.4</v>
      </c>
      <c r="L35" s="219">
        <v>7401.83</v>
      </c>
      <c r="M35" s="45">
        <f t="shared" si="0"/>
        <v>105883.54999999999</v>
      </c>
      <c r="N35" s="219">
        <v>0</v>
      </c>
    </row>
    <row r="36" spans="1:22">
      <c r="A36" s="119">
        <f t="shared" si="2"/>
        <v>2042</v>
      </c>
      <c r="B36" s="119">
        <f t="shared" si="2"/>
        <v>25</v>
      </c>
      <c r="C36" s="119">
        <f t="shared" si="2"/>
        <v>25</v>
      </c>
      <c r="D36" s="190">
        <v>31968</v>
      </c>
      <c r="E36" s="190">
        <v>15984</v>
      </c>
      <c r="F36" s="219">
        <v>0</v>
      </c>
      <c r="G36" s="219">
        <v>0</v>
      </c>
      <c r="H36" s="219">
        <v>33651.120000000003</v>
      </c>
      <c r="I36" s="219">
        <v>4853.95</v>
      </c>
      <c r="J36" s="219">
        <v>5590.25</v>
      </c>
      <c r="K36" s="219">
        <v>6434.4</v>
      </c>
      <c r="L36" s="219">
        <v>7401.83</v>
      </c>
      <c r="M36" s="45">
        <f t="shared" si="0"/>
        <v>105883.54999999999</v>
      </c>
      <c r="N36" s="219">
        <v>0</v>
      </c>
    </row>
    <row r="37" spans="1:22">
      <c r="A37" s="119">
        <f t="shared" si="2"/>
        <v>2043</v>
      </c>
      <c r="B37" s="119">
        <f t="shared" si="2"/>
        <v>26</v>
      </c>
      <c r="C37" s="119">
        <f t="shared" si="2"/>
        <v>26</v>
      </c>
      <c r="D37" s="190">
        <v>31968</v>
      </c>
      <c r="E37" s="190">
        <v>15984</v>
      </c>
      <c r="F37" s="219">
        <v>0</v>
      </c>
      <c r="G37" s="219">
        <v>0</v>
      </c>
      <c r="H37" s="219">
        <v>33651.120000000003</v>
      </c>
      <c r="I37" s="219">
        <v>4853.95</v>
      </c>
      <c r="J37" s="219">
        <v>5590.25</v>
      </c>
      <c r="K37" s="219">
        <v>6434.4</v>
      </c>
      <c r="L37" s="219">
        <v>7401.83</v>
      </c>
      <c r="M37" s="45">
        <f t="shared" si="0"/>
        <v>105883.54999999999</v>
      </c>
      <c r="N37" s="219">
        <v>0</v>
      </c>
    </row>
    <row r="38" spans="1:22">
      <c r="A38" s="137">
        <f t="shared" si="2"/>
        <v>2044</v>
      </c>
      <c r="B38" s="137">
        <f t="shared" si="2"/>
        <v>27</v>
      </c>
      <c r="C38" s="137">
        <f t="shared" si="2"/>
        <v>27</v>
      </c>
      <c r="D38" s="190">
        <v>31968</v>
      </c>
      <c r="E38" s="190">
        <f t="shared" ref="E38" si="3">E37*1.02</f>
        <v>16303.68</v>
      </c>
      <c r="F38" s="219">
        <v>0</v>
      </c>
      <c r="G38" s="219">
        <v>0</v>
      </c>
      <c r="H38" s="219">
        <v>33651.120000000003</v>
      </c>
      <c r="I38" s="219">
        <v>4853.95</v>
      </c>
      <c r="J38" s="219">
        <v>5590.25</v>
      </c>
      <c r="K38" s="219">
        <v>6434.4</v>
      </c>
      <c r="L38" s="219">
        <v>7401.83</v>
      </c>
      <c r="M38" s="45">
        <f t="shared" si="0"/>
        <v>106203.23</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D5:K5"/>
    <mergeCell ref="C4:M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4" tint="-0.49995422223578601"/>
  </sheetPr>
  <dimension ref="A1:V127"/>
  <sheetViews>
    <sheetView showGridLines="0" workbookViewId="0"/>
  </sheetViews>
  <sheetFormatPr defaultRowHeight="12.45"/>
  <cols>
    <col min="1" max="1" width="11.875" customWidth="1"/>
    <col min="2" max="2" width="10.875" customWidth="1"/>
    <col min="3" max="3" width="11.25" customWidth="1"/>
    <col min="4" max="4" width="11.875" customWidth="1"/>
    <col min="5" max="5" width="16.625" customWidth="1"/>
    <col min="6" max="6" width="18.25" customWidth="1"/>
    <col min="7" max="7" width="18.625" customWidth="1"/>
    <col min="8" max="8" width="22" customWidth="1"/>
    <col min="9" max="9" width="27" customWidth="1"/>
    <col min="10" max="10" width="23" customWidth="1"/>
    <col min="11" max="11" width="21.25" customWidth="1"/>
    <col min="12" max="19" width="8.875" style="75"/>
    <col min="20" max="22" width="8.875" style="156"/>
  </cols>
  <sheetData>
    <row r="1" spans="1:22" ht="20.3">
      <c r="A1" s="752"/>
      <c r="B1" s="753"/>
      <c r="C1" s="753"/>
      <c r="D1" s="2056" t="s">
        <v>729</v>
      </c>
      <c r="E1" s="2056"/>
      <c r="F1" s="2056"/>
      <c r="G1" s="2056"/>
      <c r="H1" s="2057"/>
      <c r="I1" s="2058" t="s">
        <v>730</v>
      </c>
      <c r="J1" s="2059"/>
      <c r="K1" s="754"/>
      <c r="L1" s="393"/>
      <c r="M1" s="393"/>
      <c r="N1" s="393"/>
    </row>
    <row r="2" spans="1:22" ht="20.3">
      <c r="A2" s="755"/>
      <c r="B2" s="756"/>
      <c r="C2" s="756"/>
      <c r="D2" s="756"/>
      <c r="E2" s="756"/>
      <c r="F2" s="756"/>
      <c r="G2" s="756"/>
      <c r="H2" s="838" t="s">
        <v>731</v>
      </c>
      <c r="I2" s="757" t="s">
        <v>732</v>
      </c>
      <c r="J2" s="757" t="s">
        <v>733</v>
      </c>
      <c r="K2" s="758" t="s">
        <v>734</v>
      </c>
      <c r="L2" s="393"/>
      <c r="M2" s="393"/>
      <c r="N2" s="393"/>
    </row>
    <row r="3" spans="1:22" ht="17.7">
      <c r="A3" s="1500" t="s">
        <v>735</v>
      </c>
      <c r="B3" s="1501"/>
      <c r="C3" s="1501"/>
      <c r="D3" s="1501"/>
      <c r="E3" s="829">
        <v>5000</v>
      </c>
      <c r="F3" s="826" t="s">
        <v>736</v>
      </c>
      <c r="G3" s="837">
        <f>E3*12</f>
        <v>60000</v>
      </c>
      <c r="H3" s="839">
        <f>E3*(12)+G4</f>
        <v>108000</v>
      </c>
      <c r="I3" s="827">
        <v>66</v>
      </c>
      <c r="J3" s="828">
        <v>70</v>
      </c>
      <c r="K3" s="822">
        <f>J3-I3</f>
        <v>4</v>
      </c>
      <c r="L3" s="393"/>
      <c r="M3" s="393"/>
      <c r="N3" s="393"/>
    </row>
    <row r="4" spans="1:22" ht="17.7">
      <c r="A4" s="1500" t="s">
        <v>737</v>
      </c>
      <c r="B4" s="1501"/>
      <c r="C4" s="1501"/>
      <c r="D4" s="1501"/>
      <c r="E4" s="829">
        <v>4000</v>
      </c>
      <c r="F4" s="826" t="s">
        <v>738</v>
      </c>
      <c r="G4" s="837">
        <f>E4*12</f>
        <v>48000</v>
      </c>
      <c r="H4" s="852"/>
      <c r="I4" s="827">
        <v>64</v>
      </c>
      <c r="J4" s="828">
        <v>66</v>
      </c>
      <c r="K4" s="823">
        <f>J4-I4</f>
        <v>2</v>
      </c>
    </row>
    <row r="5" spans="1:22" ht="20.3">
      <c r="A5" s="2060"/>
      <c r="B5" s="1536"/>
      <c r="C5" s="1536"/>
      <c r="D5" s="759"/>
      <c r="E5" s="760"/>
      <c r="F5" s="761"/>
      <c r="G5" s="762"/>
      <c r="H5" s="762"/>
      <c r="I5" s="421"/>
      <c r="J5" s="421"/>
      <c r="K5" s="763"/>
    </row>
    <row r="6" spans="1:22" ht="20.3">
      <c r="A6" s="1500" t="s">
        <v>739</v>
      </c>
      <c r="B6" s="1501"/>
      <c r="C6" s="1501"/>
      <c r="D6" s="1501"/>
      <c r="E6" s="830">
        <v>3500</v>
      </c>
      <c r="F6" s="764" t="s">
        <v>8</v>
      </c>
      <c r="G6" s="765">
        <f>E6*(12)</f>
        <v>42000</v>
      </c>
      <c r="H6" s="766" t="s">
        <v>9</v>
      </c>
      <c r="I6" s="767">
        <f>G6*1.25</f>
        <v>52500</v>
      </c>
      <c r="J6" s="768">
        <f>G6*1.25</f>
        <v>52500</v>
      </c>
      <c r="K6" s="768">
        <f>G6*1.25</f>
        <v>52500</v>
      </c>
    </row>
    <row r="7" spans="1:22" ht="21.6" customHeight="1">
      <c r="A7" s="2061"/>
      <c r="B7" s="2062"/>
      <c r="C7" s="2062"/>
      <c r="D7" s="2062"/>
      <c r="E7" s="2062"/>
      <c r="F7" s="2062"/>
      <c r="G7" s="2062"/>
      <c r="H7" s="2062"/>
      <c r="I7" s="2062"/>
      <c r="J7" s="2062"/>
      <c r="K7" s="2063"/>
    </row>
    <row r="8" spans="1:22" s="595" customFormat="1" ht="21.6" customHeight="1">
      <c r="A8" s="2064" t="s">
        <v>740</v>
      </c>
      <c r="B8" s="2065"/>
      <c r="C8" s="2065"/>
      <c r="D8" s="2065"/>
      <c r="E8" s="2065"/>
      <c r="F8" s="2065"/>
      <c r="G8" s="2065"/>
      <c r="H8" s="2065"/>
      <c r="I8" s="2065"/>
      <c r="J8" s="2065"/>
      <c r="K8" s="2066"/>
      <c r="L8" s="769"/>
      <c r="M8" s="769"/>
      <c r="N8" s="769"/>
      <c r="O8" s="769"/>
      <c r="P8" s="769"/>
      <c r="Q8" s="769"/>
      <c r="R8" s="769"/>
      <c r="S8" s="769"/>
      <c r="T8" s="770"/>
      <c r="U8" s="770"/>
      <c r="V8" s="770"/>
    </row>
    <row r="9" spans="1:22" s="595" customFormat="1" ht="21.6" customHeight="1">
      <c r="A9" s="2067"/>
      <c r="B9" s="2068"/>
      <c r="C9" s="2068"/>
      <c r="D9" s="2068"/>
      <c r="E9" s="2068"/>
      <c r="F9" s="2068"/>
      <c r="G9" s="2068"/>
      <c r="H9" s="2068"/>
      <c r="I9" s="2068"/>
      <c r="J9" s="2068"/>
      <c r="K9" s="2069"/>
      <c r="L9" s="769"/>
      <c r="M9" s="769"/>
      <c r="N9" s="769"/>
      <c r="O9" s="769"/>
      <c r="P9" s="769"/>
      <c r="Q9" s="769"/>
      <c r="R9" s="769"/>
      <c r="S9" s="769"/>
      <c r="T9" s="770"/>
      <c r="U9" s="770"/>
      <c r="V9" s="770"/>
    </row>
    <row r="10" spans="1:22" ht="18.350000000000001">
      <c r="A10" s="2070"/>
      <c r="B10" s="2071"/>
      <c r="C10" s="2071"/>
      <c r="D10" s="2071"/>
      <c r="E10" s="2071"/>
      <c r="F10" s="2071"/>
      <c r="G10" s="2071"/>
      <c r="H10" s="2072"/>
      <c r="I10" s="771" t="s">
        <v>741</v>
      </c>
      <c r="J10" s="772" t="s">
        <v>742</v>
      </c>
      <c r="K10" s="773" t="s">
        <v>743</v>
      </c>
    </row>
    <row r="11" spans="1:22" ht="18.350000000000001">
      <c r="A11" s="774" t="s">
        <v>744</v>
      </c>
      <c r="B11" s="831">
        <v>2000</v>
      </c>
      <c r="C11" s="833">
        <v>2550</v>
      </c>
      <c r="D11" s="775" t="s">
        <v>12</v>
      </c>
      <c r="E11" s="835">
        <v>66</v>
      </c>
      <c r="F11" s="776"/>
      <c r="G11" s="2073" t="s">
        <v>745</v>
      </c>
      <c r="H11" s="2074"/>
      <c r="I11" s="777">
        <f>B11*(12)</f>
        <v>24000</v>
      </c>
      <c r="J11" s="778">
        <f>C11*(12)</f>
        <v>30600</v>
      </c>
      <c r="K11" s="779">
        <f>C11*(12)</f>
        <v>30600</v>
      </c>
    </row>
    <row r="12" spans="1:22" ht="18.350000000000001">
      <c r="A12" s="780" t="s">
        <v>746</v>
      </c>
      <c r="B12" s="832">
        <v>1500</v>
      </c>
      <c r="C12" s="834">
        <v>0</v>
      </c>
      <c r="D12" s="781" t="s">
        <v>12</v>
      </c>
      <c r="E12" s="836">
        <v>66</v>
      </c>
      <c r="F12" s="782"/>
      <c r="G12" s="2075" t="s">
        <v>747</v>
      </c>
      <c r="H12" s="2076"/>
      <c r="I12" s="783">
        <f>B12*(12)</f>
        <v>18000</v>
      </c>
      <c r="J12" s="778">
        <f>C12*(12)</f>
        <v>0</v>
      </c>
      <c r="K12" s="779">
        <f>C12*(12)</f>
        <v>0</v>
      </c>
    </row>
    <row r="13" spans="1:22" ht="18.350000000000001">
      <c r="A13" s="2077"/>
      <c r="B13" s="2077"/>
      <c r="C13" s="2077"/>
      <c r="D13" s="2077"/>
      <c r="E13" s="2077"/>
      <c r="F13" s="2077"/>
      <c r="G13" s="2077"/>
      <c r="H13" s="2077"/>
      <c r="I13" s="784"/>
      <c r="J13" s="785"/>
      <c r="K13" s="786"/>
    </row>
    <row r="14" spans="1:22" ht="15.05">
      <c r="A14" s="2078" t="s">
        <v>748</v>
      </c>
      <c r="B14" s="2078"/>
      <c r="C14" s="787" t="s">
        <v>15</v>
      </c>
      <c r="D14" s="781" t="s">
        <v>749</v>
      </c>
      <c r="E14" s="2052" t="s">
        <v>750</v>
      </c>
      <c r="F14" s="2053"/>
      <c r="G14" s="2053"/>
      <c r="H14" s="2054"/>
      <c r="I14" s="788"/>
      <c r="J14" s="789"/>
      <c r="K14" s="790"/>
    </row>
    <row r="15" spans="1:22" ht="15.75">
      <c r="A15" s="2045" t="s">
        <v>751</v>
      </c>
      <c r="B15" s="2046"/>
      <c r="C15" s="791">
        <v>0</v>
      </c>
      <c r="D15" s="792">
        <v>0</v>
      </c>
      <c r="E15" s="1518"/>
      <c r="F15" s="1519"/>
      <c r="G15" s="1519"/>
      <c r="H15" s="1519"/>
      <c r="I15" s="793">
        <f>C15*(12)</f>
        <v>0</v>
      </c>
      <c r="J15" s="794">
        <f>D15*(12)</f>
        <v>0</v>
      </c>
      <c r="K15" s="923">
        <f t="shared" ref="K15:K21" si="0">C15*(12)</f>
        <v>0</v>
      </c>
    </row>
    <row r="16" spans="1:22" ht="15.75">
      <c r="A16" s="2045" t="s">
        <v>751</v>
      </c>
      <c r="B16" s="2046"/>
      <c r="C16" s="791">
        <v>0</v>
      </c>
      <c r="D16" s="796">
        <v>0</v>
      </c>
      <c r="E16" s="2055"/>
      <c r="F16" s="2055"/>
      <c r="G16" s="2055"/>
      <c r="H16" s="2055"/>
      <c r="I16" s="793">
        <f t="shared" ref="I16:J21" si="1">C16*(12)</f>
        <v>0</v>
      </c>
      <c r="J16" s="794">
        <f t="shared" si="1"/>
        <v>0</v>
      </c>
      <c r="K16" s="795">
        <f t="shared" si="0"/>
        <v>0</v>
      </c>
    </row>
    <row r="17" spans="1:11" ht="15.75">
      <c r="A17" s="2045" t="s">
        <v>751</v>
      </c>
      <c r="B17" s="2046"/>
      <c r="C17" s="791">
        <v>0</v>
      </c>
      <c r="D17" s="796">
        <v>0</v>
      </c>
      <c r="E17" s="1519"/>
      <c r="F17" s="1519"/>
      <c r="G17" s="1519"/>
      <c r="H17" s="1519"/>
      <c r="I17" s="793">
        <f t="shared" si="1"/>
        <v>0</v>
      </c>
      <c r="J17" s="794">
        <f t="shared" si="1"/>
        <v>0</v>
      </c>
      <c r="K17" s="795">
        <f t="shared" si="0"/>
        <v>0</v>
      </c>
    </row>
    <row r="18" spans="1:11" ht="15.75">
      <c r="A18" s="2045" t="s">
        <v>751</v>
      </c>
      <c r="B18" s="2046"/>
      <c r="C18" s="791">
        <v>0</v>
      </c>
      <c r="D18" s="796">
        <v>0</v>
      </c>
      <c r="E18" s="1519"/>
      <c r="F18" s="1519"/>
      <c r="G18" s="1519"/>
      <c r="H18" s="1519"/>
      <c r="I18" s="793">
        <f t="shared" si="1"/>
        <v>0</v>
      </c>
      <c r="J18" s="794">
        <f t="shared" si="1"/>
        <v>0</v>
      </c>
      <c r="K18" s="795">
        <f t="shared" si="0"/>
        <v>0</v>
      </c>
    </row>
    <row r="19" spans="1:11" ht="15.75">
      <c r="A19" s="2045" t="s">
        <v>751</v>
      </c>
      <c r="B19" s="2046"/>
      <c r="C19" s="791">
        <v>0</v>
      </c>
      <c r="D19" s="796">
        <v>0</v>
      </c>
      <c r="E19" s="1519"/>
      <c r="F19" s="1519"/>
      <c r="G19" s="1519"/>
      <c r="H19" s="1519"/>
      <c r="I19" s="793">
        <f t="shared" si="1"/>
        <v>0</v>
      </c>
      <c r="J19" s="794">
        <f t="shared" si="1"/>
        <v>0</v>
      </c>
      <c r="K19" s="795">
        <f t="shared" si="0"/>
        <v>0</v>
      </c>
    </row>
    <row r="20" spans="1:11" ht="15.75">
      <c r="A20" s="2045" t="s">
        <v>752</v>
      </c>
      <c r="B20" s="2046"/>
      <c r="C20" s="791">
        <v>0</v>
      </c>
      <c r="D20" s="796">
        <v>0</v>
      </c>
      <c r="E20" s="1519"/>
      <c r="F20" s="1519"/>
      <c r="G20" s="1519"/>
      <c r="H20" s="1519"/>
      <c r="I20" s="793">
        <f t="shared" si="1"/>
        <v>0</v>
      </c>
      <c r="J20" s="794">
        <f t="shared" si="1"/>
        <v>0</v>
      </c>
      <c r="K20" s="795">
        <f t="shared" si="0"/>
        <v>0</v>
      </c>
    </row>
    <row r="21" spans="1:11" ht="15.75">
      <c r="A21" s="2045" t="s">
        <v>752</v>
      </c>
      <c r="B21" s="2046"/>
      <c r="C21" s="791">
        <v>0</v>
      </c>
      <c r="D21" s="796">
        <v>0</v>
      </c>
      <c r="E21" s="1519"/>
      <c r="F21" s="1519"/>
      <c r="G21" s="1519"/>
      <c r="H21" s="1519"/>
      <c r="I21" s="793">
        <f t="shared" si="1"/>
        <v>0</v>
      </c>
      <c r="J21" s="794">
        <f t="shared" si="1"/>
        <v>0</v>
      </c>
      <c r="K21" s="795">
        <f t="shared" si="0"/>
        <v>0</v>
      </c>
    </row>
    <row r="22" spans="1:11" ht="15.05">
      <c r="A22" s="2047" t="s">
        <v>753</v>
      </c>
      <c r="B22" s="2048"/>
      <c r="C22" s="797" t="s">
        <v>15</v>
      </c>
      <c r="D22" s="798" t="s">
        <v>749</v>
      </c>
      <c r="E22" s="2049" t="s">
        <v>754</v>
      </c>
      <c r="F22" s="2050"/>
      <c r="G22" s="2050"/>
      <c r="H22" s="2051"/>
      <c r="I22" s="788"/>
      <c r="J22" s="789"/>
      <c r="K22" s="790"/>
    </row>
    <row r="23" spans="1:11" ht="15.75">
      <c r="A23" s="2038" t="s">
        <v>755</v>
      </c>
      <c r="B23" s="2039"/>
      <c r="C23" s="791">
        <v>0</v>
      </c>
      <c r="D23" s="799">
        <v>0</v>
      </c>
      <c r="E23" s="1518"/>
      <c r="F23" s="1519"/>
      <c r="G23" s="1519"/>
      <c r="H23" s="1519"/>
      <c r="I23" s="793">
        <f>C23*(12)</f>
        <v>0</v>
      </c>
      <c r="J23" s="794">
        <f t="shared" ref="J23:J29" si="2">C23*(12)</f>
        <v>0</v>
      </c>
      <c r="K23" s="795">
        <f t="shared" ref="K23:K29" si="3">D23*(12)</f>
        <v>0</v>
      </c>
    </row>
    <row r="24" spans="1:11" ht="15.75">
      <c r="A24" s="2038" t="s">
        <v>755</v>
      </c>
      <c r="B24" s="2039"/>
      <c r="C24" s="800">
        <v>0</v>
      </c>
      <c r="D24" s="796">
        <v>0</v>
      </c>
      <c r="E24" s="1519"/>
      <c r="F24" s="1519"/>
      <c r="G24" s="1519"/>
      <c r="H24" s="1519"/>
      <c r="I24" s="793">
        <f t="shared" ref="I24:I29" si="4">C24*(12)</f>
        <v>0</v>
      </c>
      <c r="J24" s="794">
        <f t="shared" si="2"/>
        <v>0</v>
      </c>
      <c r="K24" s="795">
        <f t="shared" si="3"/>
        <v>0</v>
      </c>
    </row>
    <row r="25" spans="1:11" ht="15.75">
      <c r="A25" s="2038" t="s">
        <v>755</v>
      </c>
      <c r="B25" s="2039"/>
      <c r="C25" s="791">
        <v>0</v>
      </c>
      <c r="D25" s="796">
        <v>0</v>
      </c>
      <c r="E25" s="1519"/>
      <c r="F25" s="1519"/>
      <c r="G25" s="1519"/>
      <c r="H25" s="1519"/>
      <c r="I25" s="793">
        <f t="shared" si="4"/>
        <v>0</v>
      </c>
      <c r="J25" s="794">
        <f t="shared" si="2"/>
        <v>0</v>
      </c>
      <c r="K25" s="795">
        <f t="shared" si="3"/>
        <v>0</v>
      </c>
    </row>
    <row r="26" spans="1:11" ht="15.75">
      <c r="A26" s="2038" t="s">
        <v>755</v>
      </c>
      <c r="B26" s="2039"/>
      <c r="C26" s="791">
        <v>0</v>
      </c>
      <c r="D26" s="796">
        <v>0</v>
      </c>
      <c r="E26" s="1519"/>
      <c r="F26" s="1519"/>
      <c r="G26" s="1519"/>
      <c r="H26" s="1519"/>
      <c r="I26" s="793">
        <f t="shared" si="4"/>
        <v>0</v>
      </c>
      <c r="J26" s="794">
        <f t="shared" si="2"/>
        <v>0</v>
      </c>
      <c r="K26" s="795">
        <f t="shared" si="3"/>
        <v>0</v>
      </c>
    </row>
    <row r="27" spans="1:11" ht="15.75">
      <c r="A27" s="2038" t="s">
        <v>755</v>
      </c>
      <c r="B27" s="2039"/>
      <c r="C27" s="791">
        <v>0</v>
      </c>
      <c r="D27" s="796">
        <v>0</v>
      </c>
      <c r="E27" s="1519"/>
      <c r="F27" s="1519"/>
      <c r="G27" s="1519"/>
      <c r="H27" s="1519"/>
      <c r="I27" s="793">
        <f t="shared" si="4"/>
        <v>0</v>
      </c>
      <c r="J27" s="794">
        <f t="shared" si="2"/>
        <v>0</v>
      </c>
      <c r="K27" s="795">
        <f t="shared" si="3"/>
        <v>0</v>
      </c>
    </row>
    <row r="28" spans="1:11" ht="15.75">
      <c r="A28" s="2038" t="s">
        <v>756</v>
      </c>
      <c r="B28" s="2039"/>
      <c r="C28" s="801">
        <v>0</v>
      </c>
      <c r="D28" s="796">
        <v>0</v>
      </c>
      <c r="E28" s="1519"/>
      <c r="F28" s="1519"/>
      <c r="G28" s="1519"/>
      <c r="H28" s="1519"/>
      <c r="I28" s="793">
        <f t="shared" si="4"/>
        <v>0</v>
      </c>
      <c r="J28" s="794">
        <f t="shared" si="2"/>
        <v>0</v>
      </c>
      <c r="K28" s="795">
        <f t="shared" si="3"/>
        <v>0</v>
      </c>
    </row>
    <row r="29" spans="1:11" ht="15.75">
      <c r="A29" s="2041" t="s">
        <v>756</v>
      </c>
      <c r="B29" s="2042"/>
      <c r="C29" s="791">
        <v>0</v>
      </c>
      <c r="D29" s="799">
        <v>0</v>
      </c>
      <c r="E29" s="1519"/>
      <c r="F29" s="1519"/>
      <c r="G29" s="1519"/>
      <c r="H29" s="1519"/>
      <c r="I29" s="793">
        <f t="shared" si="4"/>
        <v>0</v>
      </c>
      <c r="J29" s="794">
        <f t="shared" si="2"/>
        <v>0</v>
      </c>
      <c r="K29" s="795">
        <f t="shared" si="3"/>
        <v>0</v>
      </c>
    </row>
    <row r="30" spans="1:11" ht="15.05">
      <c r="A30" s="2043"/>
      <c r="B30" s="2044"/>
      <c r="C30" s="2044"/>
      <c r="D30" s="2044"/>
      <c r="E30" s="2044"/>
      <c r="F30" s="2044"/>
      <c r="G30" s="2044"/>
      <c r="H30" s="2044"/>
      <c r="I30" s="802" t="s">
        <v>757</v>
      </c>
      <c r="J30" s="803" t="s">
        <v>758</v>
      </c>
      <c r="K30" s="804" t="s">
        <v>759</v>
      </c>
    </row>
    <row r="31" spans="1:11" ht="25.55">
      <c r="A31" s="2040" t="s">
        <v>21</v>
      </c>
      <c r="B31" s="1733"/>
      <c r="C31" s="1733"/>
      <c r="D31" s="1733"/>
      <c r="E31" s="1733"/>
      <c r="F31" s="1733"/>
      <c r="G31" s="1733"/>
      <c r="H31" s="1733"/>
      <c r="I31" s="805">
        <f>I11+I12+I15+I16+I17+I18+I19+I20+I21+I22+I23+I24+I25+I26+I27+I28+I29</f>
        <v>42000</v>
      </c>
      <c r="J31" s="806">
        <f>J11+J12+J15+J16+J17+J18+J19+J20+J21+J23+J24+J25+J26+J27+J28+J29</f>
        <v>30600</v>
      </c>
      <c r="K31" s="807">
        <f>K11+K12+K15+K16+K17+K18+K19+K20+K21+K23+K24+K25+K26+K26+K27+K28+K29</f>
        <v>30600</v>
      </c>
    </row>
    <row r="32" spans="1:11" ht="25.55">
      <c r="A32" s="808"/>
      <c r="B32" s="1530" t="s">
        <v>760</v>
      </c>
      <c r="C32" s="1530"/>
      <c r="D32" s="1530"/>
      <c r="E32" s="1530"/>
      <c r="F32" s="1530"/>
      <c r="G32" s="1530"/>
      <c r="H32" s="1530"/>
      <c r="I32" s="809">
        <f>I31-I6</f>
        <v>-10500</v>
      </c>
      <c r="J32" s="810">
        <f>J31-J6</f>
        <v>-21900</v>
      </c>
      <c r="K32" s="811">
        <f>K31-I6</f>
        <v>-21900</v>
      </c>
    </row>
    <row r="33" spans="1:19">
      <c r="A33" s="812"/>
      <c r="B33" s="156"/>
      <c r="C33" s="156"/>
      <c r="D33" s="156"/>
      <c r="E33" s="156"/>
      <c r="F33" s="156"/>
      <c r="G33" s="156"/>
      <c r="H33" s="156"/>
      <c r="I33" s="156"/>
      <c r="J33" s="156"/>
      <c r="K33" s="813"/>
    </row>
    <row r="34" spans="1:19" ht="20.3">
      <c r="A34" s="2034" t="s">
        <v>23</v>
      </c>
      <c r="B34" s="1531"/>
      <c r="C34" s="1531"/>
      <c r="D34" s="1531"/>
      <c r="E34" s="1531"/>
      <c r="F34" s="1531"/>
      <c r="G34" s="1531"/>
      <c r="H34" s="1531"/>
      <c r="I34" s="2035" t="s">
        <v>761</v>
      </c>
      <c r="J34" s="2036"/>
      <c r="K34" s="2037"/>
    </row>
    <row r="35" spans="1:19" ht="13.1">
      <c r="A35" s="814"/>
      <c r="B35" s="815"/>
      <c r="C35" s="815"/>
      <c r="D35" s="815"/>
      <c r="E35" s="815"/>
      <c r="F35" s="815"/>
      <c r="G35" s="815"/>
      <c r="H35" s="815"/>
      <c r="I35" s="815"/>
      <c r="J35" s="815"/>
      <c r="K35" s="816"/>
    </row>
    <row r="36" spans="1:19" s="156" customFormat="1" ht="13.1">
      <c r="A36" s="814"/>
      <c r="B36" s="815"/>
      <c r="C36" s="815"/>
      <c r="D36" s="815"/>
      <c r="E36" s="815"/>
      <c r="F36" s="815"/>
      <c r="G36" s="815"/>
      <c r="H36" s="815"/>
      <c r="I36" s="815"/>
      <c r="J36" s="815"/>
      <c r="K36" s="816"/>
      <c r="L36" s="75"/>
      <c r="M36" s="75"/>
      <c r="N36" s="75"/>
      <c r="O36" s="75"/>
      <c r="P36" s="75"/>
      <c r="Q36" s="75"/>
      <c r="R36" s="75"/>
      <c r="S36" s="75"/>
    </row>
    <row r="37" spans="1:19" ht="20.3">
      <c r="A37" s="817"/>
      <c r="B37" s="818"/>
      <c r="C37" s="818"/>
      <c r="D37" s="818"/>
      <c r="E37" s="819"/>
      <c r="F37" s="819"/>
      <c r="G37" s="819"/>
      <c r="H37" s="819"/>
      <c r="I37" s="820"/>
      <c r="J37" s="819"/>
      <c r="K37" s="821"/>
    </row>
    <row r="38" spans="1:19" ht="15.05">
      <c r="A38" s="1525"/>
      <c r="B38" s="1525"/>
      <c r="C38" s="1525"/>
      <c r="D38" s="1525"/>
      <c r="E38" s="75"/>
      <c r="F38" s="75"/>
      <c r="G38" s="75"/>
      <c r="H38" s="75"/>
      <c r="I38" s="418"/>
      <c r="J38" s="75"/>
      <c r="K38" s="75"/>
    </row>
    <row r="39" spans="1:19" ht="15.05">
      <c r="A39" s="1525"/>
      <c r="B39" s="1525"/>
      <c r="C39" s="1525"/>
      <c r="D39" s="1525"/>
      <c r="E39" s="75"/>
      <c r="F39" s="75"/>
      <c r="G39" s="75"/>
      <c r="H39" s="75"/>
      <c r="I39" s="418"/>
      <c r="J39" s="75"/>
      <c r="K39" s="75"/>
    </row>
    <row r="40" spans="1:19" ht="13.1">
      <c r="A40" s="75"/>
      <c r="B40" s="75"/>
      <c r="C40" s="75"/>
      <c r="D40" s="75"/>
      <c r="E40" s="75"/>
      <c r="F40" s="75"/>
      <c r="G40" s="75"/>
      <c r="H40" s="75"/>
      <c r="I40" s="411"/>
      <c r="J40" s="75"/>
      <c r="K40" s="75"/>
    </row>
    <row r="41" spans="1:19" ht="17.7">
      <c r="A41" s="1525"/>
      <c r="B41" s="1525"/>
      <c r="C41" s="1525"/>
      <c r="D41" s="1525"/>
      <c r="E41" s="1526"/>
      <c r="F41" s="1527"/>
      <c r="G41" s="1527"/>
      <c r="H41" s="184"/>
      <c r="I41" s="419"/>
      <c r="J41" s="75"/>
      <c r="K41" s="75"/>
    </row>
    <row r="42" spans="1:19">
      <c r="A42" s="75"/>
      <c r="B42" s="75"/>
      <c r="C42" s="75"/>
      <c r="D42" s="75"/>
      <c r="E42" s="75"/>
      <c r="F42" s="75"/>
      <c r="G42" s="75"/>
      <c r="H42" s="75"/>
      <c r="I42" s="75"/>
      <c r="J42" s="75"/>
      <c r="K42" s="75"/>
    </row>
    <row r="43" spans="1:19" ht="15.05">
      <c r="A43" s="1525"/>
      <c r="B43" s="1525"/>
      <c r="C43" s="1525"/>
      <c r="D43" s="1525"/>
      <c r="E43" s="75"/>
      <c r="F43" s="75"/>
      <c r="G43" s="75"/>
      <c r="H43" s="75"/>
      <c r="I43" s="420"/>
      <c r="J43" s="75"/>
      <c r="K43" s="75"/>
    </row>
    <row r="44" spans="1:19">
      <c r="A44" s="75"/>
      <c r="B44" s="75"/>
      <c r="C44" s="75"/>
      <c r="D44" s="75"/>
      <c r="E44" s="75"/>
      <c r="F44" s="75"/>
      <c r="G44" s="75"/>
      <c r="H44" s="75"/>
      <c r="I44" s="75"/>
      <c r="J44" s="75"/>
      <c r="K44" s="75"/>
    </row>
    <row r="45" spans="1:19">
      <c r="A45" s="75"/>
      <c r="B45" s="75"/>
      <c r="C45" s="75"/>
      <c r="D45" s="75"/>
      <c r="E45" s="75"/>
      <c r="F45" s="75"/>
      <c r="G45" s="75"/>
      <c r="H45" s="75"/>
      <c r="I45" s="75"/>
      <c r="J45" s="75"/>
      <c r="K45" s="75"/>
    </row>
    <row r="46" spans="1:19">
      <c r="A46" s="75"/>
      <c r="B46" s="75"/>
      <c r="C46" s="75"/>
      <c r="D46" s="75"/>
      <c r="E46" s="75"/>
      <c r="F46" s="75"/>
      <c r="G46" s="75"/>
      <c r="H46" s="75"/>
      <c r="I46" s="75"/>
      <c r="J46" s="75"/>
      <c r="K46" s="75"/>
    </row>
    <row r="47" spans="1:19">
      <c r="A47" s="75"/>
      <c r="B47" s="75"/>
      <c r="C47" s="75"/>
      <c r="D47" s="75"/>
      <c r="E47" s="75"/>
      <c r="F47" s="75"/>
      <c r="G47" s="75"/>
      <c r="H47" s="75"/>
      <c r="I47" s="75"/>
      <c r="J47" s="75"/>
      <c r="K47" s="75"/>
    </row>
    <row r="48" spans="1:19">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row r="114" spans="1:11">
      <c r="A114" s="75"/>
      <c r="B114" s="75"/>
      <c r="C114" s="75"/>
      <c r="D114" s="75"/>
      <c r="E114" s="75"/>
      <c r="F114" s="75"/>
      <c r="G114" s="75"/>
      <c r="H114" s="75"/>
      <c r="I114" s="75"/>
      <c r="J114" s="75"/>
      <c r="K114" s="75"/>
    </row>
    <row r="115" spans="1:11">
      <c r="A115" s="75"/>
      <c r="B115" s="75"/>
      <c r="C115" s="75"/>
      <c r="D115" s="75"/>
      <c r="E115" s="75"/>
      <c r="F115" s="75"/>
      <c r="G115" s="75"/>
      <c r="H115" s="75"/>
      <c r="I115" s="75"/>
      <c r="J115" s="75"/>
      <c r="K115" s="75"/>
    </row>
    <row r="116" spans="1:11">
      <c r="A116" s="75"/>
      <c r="B116" s="75"/>
      <c r="C116" s="75"/>
      <c r="D116" s="75"/>
      <c r="E116" s="75"/>
      <c r="F116" s="75"/>
      <c r="G116" s="75"/>
      <c r="H116" s="75"/>
      <c r="I116" s="75"/>
      <c r="J116" s="75"/>
      <c r="K116" s="75"/>
    </row>
    <row r="117" spans="1:11">
      <c r="A117" s="75"/>
      <c r="B117" s="75"/>
      <c r="C117" s="75"/>
      <c r="D117" s="75"/>
      <c r="E117" s="75"/>
      <c r="F117" s="75"/>
      <c r="G117" s="75"/>
      <c r="H117" s="75"/>
      <c r="I117" s="75"/>
      <c r="J117" s="75"/>
      <c r="K117" s="75"/>
    </row>
    <row r="118" spans="1:11">
      <c r="A118" s="75"/>
      <c r="B118" s="75"/>
      <c r="C118" s="75"/>
      <c r="D118" s="75"/>
      <c r="E118" s="75"/>
      <c r="F118" s="75"/>
      <c r="G118" s="75"/>
      <c r="H118" s="75"/>
      <c r="I118" s="75"/>
      <c r="J118" s="75"/>
      <c r="K118" s="75"/>
    </row>
    <row r="119" spans="1:11">
      <c r="A119" s="75"/>
      <c r="B119" s="75"/>
      <c r="C119" s="75"/>
      <c r="D119" s="75"/>
      <c r="E119" s="75"/>
      <c r="F119" s="75"/>
      <c r="G119" s="75"/>
      <c r="H119" s="75"/>
      <c r="I119" s="75"/>
      <c r="J119" s="75"/>
      <c r="K119" s="75"/>
    </row>
    <row r="120" spans="1:11">
      <c r="A120" s="75"/>
      <c r="B120" s="75"/>
      <c r="C120" s="75"/>
      <c r="D120" s="75"/>
      <c r="E120" s="75"/>
      <c r="F120" s="75"/>
      <c r="G120" s="75"/>
      <c r="H120" s="75"/>
      <c r="I120" s="75"/>
      <c r="J120" s="75"/>
      <c r="K120" s="75"/>
    </row>
    <row r="121" spans="1:11">
      <c r="A121" s="75"/>
      <c r="B121" s="75"/>
      <c r="C121" s="75"/>
      <c r="D121" s="75"/>
      <c r="E121" s="75"/>
      <c r="F121" s="75"/>
      <c r="G121" s="75"/>
      <c r="H121" s="75"/>
      <c r="I121" s="75"/>
      <c r="J121" s="75"/>
      <c r="K121" s="75"/>
    </row>
    <row r="122" spans="1:11">
      <c r="A122" s="75"/>
      <c r="B122" s="75"/>
      <c r="C122" s="75"/>
      <c r="D122" s="75"/>
      <c r="E122" s="75"/>
      <c r="F122" s="75"/>
      <c r="G122" s="75"/>
      <c r="H122" s="75"/>
      <c r="I122" s="75"/>
      <c r="J122" s="75"/>
      <c r="K122" s="75"/>
    </row>
    <row r="123" spans="1:11">
      <c r="A123" s="75"/>
      <c r="B123" s="75"/>
      <c r="C123" s="75"/>
      <c r="D123" s="75"/>
      <c r="E123" s="75"/>
      <c r="F123" s="75"/>
      <c r="G123" s="75"/>
      <c r="H123" s="75"/>
      <c r="I123" s="75"/>
      <c r="J123" s="75"/>
      <c r="K123" s="75"/>
    </row>
    <row r="124" spans="1:11">
      <c r="A124" s="75"/>
      <c r="B124" s="75"/>
      <c r="C124" s="75"/>
      <c r="D124" s="75"/>
      <c r="E124" s="75"/>
      <c r="F124" s="75"/>
      <c r="G124" s="75"/>
      <c r="H124" s="75"/>
      <c r="I124" s="75"/>
      <c r="J124" s="75"/>
      <c r="K124" s="75"/>
    </row>
    <row r="125" spans="1:11">
      <c r="A125" s="75"/>
      <c r="B125" s="75"/>
      <c r="C125" s="75"/>
      <c r="D125" s="75"/>
      <c r="E125" s="75"/>
      <c r="F125" s="75"/>
      <c r="G125" s="75"/>
      <c r="H125" s="75"/>
      <c r="I125" s="75"/>
      <c r="J125" s="75"/>
      <c r="K125" s="75"/>
    </row>
    <row r="126" spans="1:11">
      <c r="A126" s="75"/>
      <c r="B126" s="75"/>
      <c r="C126" s="75"/>
      <c r="D126" s="75"/>
      <c r="E126" s="75"/>
      <c r="F126" s="75"/>
      <c r="G126" s="75"/>
      <c r="H126" s="75"/>
      <c r="I126" s="75"/>
      <c r="J126" s="75"/>
      <c r="K126" s="75"/>
    </row>
    <row r="127" spans="1:11">
      <c r="A127" s="75"/>
      <c r="B127" s="75"/>
      <c r="C127" s="75"/>
      <c r="D127" s="75"/>
      <c r="E127" s="75"/>
      <c r="F127" s="75"/>
      <c r="G127" s="75"/>
      <c r="H127" s="75"/>
      <c r="I127" s="75"/>
      <c r="J127" s="75"/>
      <c r="K127" s="75"/>
    </row>
  </sheetData>
  <mergeCells count="55">
    <mergeCell ref="D1:H1"/>
    <mergeCell ref="I1:J1"/>
    <mergeCell ref="A3:D3"/>
    <mergeCell ref="A4:D4"/>
    <mergeCell ref="A15:B15"/>
    <mergeCell ref="E15:H15"/>
    <mergeCell ref="A5:C5"/>
    <mergeCell ref="A6:D6"/>
    <mergeCell ref="A7:K7"/>
    <mergeCell ref="A8:K8"/>
    <mergeCell ref="A9:K9"/>
    <mergeCell ref="A10:H10"/>
    <mergeCell ref="G11:H11"/>
    <mergeCell ref="G12:H12"/>
    <mergeCell ref="A13:H13"/>
    <mergeCell ref="A14:B14"/>
    <mergeCell ref="E14:H14"/>
    <mergeCell ref="A16:B16"/>
    <mergeCell ref="E16:H16"/>
    <mergeCell ref="A17:B17"/>
    <mergeCell ref="E17:H17"/>
    <mergeCell ref="A18:B18"/>
    <mergeCell ref="E18:H18"/>
    <mergeCell ref="A19:B19"/>
    <mergeCell ref="E19:H19"/>
    <mergeCell ref="A20:B20"/>
    <mergeCell ref="E20:H20"/>
    <mergeCell ref="A21:B21"/>
    <mergeCell ref="E21:H21"/>
    <mergeCell ref="A22:B22"/>
    <mergeCell ref="E22:H22"/>
    <mergeCell ref="A23:B23"/>
    <mergeCell ref="E23:H23"/>
    <mergeCell ref="A24:B24"/>
    <mergeCell ref="E24:H24"/>
    <mergeCell ref="A31:H31"/>
    <mergeCell ref="A25:B25"/>
    <mergeCell ref="E25:H25"/>
    <mergeCell ref="A26:B26"/>
    <mergeCell ref="E26:H26"/>
    <mergeCell ref="A27:B27"/>
    <mergeCell ref="E27:H27"/>
    <mergeCell ref="A28:B28"/>
    <mergeCell ref="E28:H28"/>
    <mergeCell ref="A29:B29"/>
    <mergeCell ref="E29:H29"/>
    <mergeCell ref="A30:H30"/>
    <mergeCell ref="A43:D43"/>
    <mergeCell ref="B32:H32"/>
    <mergeCell ref="A34:H34"/>
    <mergeCell ref="I34:K34"/>
    <mergeCell ref="A38:D38"/>
    <mergeCell ref="A39:D39"/>
    <mergeCell ref="A41:D41"/>
    <mergeCell ref="E41:G4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2030" t="s">
        <v>713</v>
      </c>
      <c r="K1" s="2030"/>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79" t="s">
        <v>762</v>
      </c>
      <c r="D4" s="2080"/>
      <c r="E4" s="2080"/>
      <c r="F4" s="2080"/>
      <c r="G4" s="2080"/>
      <c r="H4" s="2080"/>
      <c r="I4" s="2080"/>
      <c r="J4" s="2080"/>
      <c r="K4" s="2080"/>
      <c r="L4" s="2080"/>
      <c r="M4" s="2080"/>
      <c r="N4" s="211"/>
    </row>
    <row r="5" spans="1:22" ht="15.05">
      <c r="A5" s="211"/>
      <c r="B5" s="209"/>
      <c r="C5" s="599"/>
      <c r="D5" s="1973"/>
      <c r="E5" s="1973"/>
      <c r="F5" s="1973"/>
      <c r="G5" s="1973"/>
      <c r="H5" s="1973"/>
      <c r="I5" s="1973"/>
      <c r="J5" s="1973"/>
      <c r="K5" s="607" t="e">
        <f>'Egan Asset Summary'!#REF!</f>
        <v>#REF!</v>
      </c>
      <c r="L5" s="607">
        <f>'Egan Asset Summary'!L4</f>
        <v>0</v>
      </c>
      <c r="M5" s="608">
        <f>'Egan Asset Summary'!O4</f>
        <v>0</v>
      </c>
      <c r="N5" s="211"/>
    </row>
    <row r="6" spans="1:22" ht="15.05">
      <c r="A6" s="211"/>
      <c r="B6" s="209"/>
      <c r="C6" s="599"/>
      <c r="D6" s="1974"/>
      <c r="E6" s="1974"/>
      <c r="F6" s="1974"/>
      <c r="G6" s="1974"/>
      <c r="H6" s="1974"/>
      <c r="I6" s="1974"/>
      <c r="J6" s="1974"/>
      <c r="K6" s="1974"/>
      <c r="L6" s="607">
        <f>'Egan Asset Summary'!M5</f>
        <v>0</v>
      </c>
      <c r="M6" s="608">
        <f>'Egan Asset Summary'!O5</f>
        <v>0</v>
      </c>
      <c r="N6" s="211"/>
    </row>
    <row r="7" spans="1:22">
      <c r="A7" s="600"/>
      <c r="B7" s="209"/>
      <c r="C7" s="599"/>
      <c r="D7" s="1975"/>
      <c r="E7" s="1976"/>
      <c r="F7" s="1976"/>
      <c r="G7" s="1976"/>
      <c r="H7" s="1976"/>
      <c r="I7" s="1976"/>
      <c r="J7" s="1976"/>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725</v>
      </c>
      <c r="K10" s="293" t="s">
        <v>726</v>
      </c>
      <c r="L10" s="293" t="s">
        <v>727</v>
      </c>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6434.4</v>
      </c>
      <c r="L28" s="219">
        <v>7401.83</v>
      </c>
      <c r="M28" s="356">
        <f t="shared" si="0"/>
        <v>105883.54999999999</v>
      </c>
      <c r="N28" s="219">
        <v>0</v>
      </c>
    </row>
    <row r="29" spans="1:14">
      <c r="A29" s="119">
        <f t="shared" si="2"/>
        <v>2035</v>
      </c>
      <c r="B29" s="150">
        <f t="shared" si="2"/>
        <v>18</v>
      </c>
      <c r="C29" s="119">
        <f t="shared" si="2"/>
        <v>18</v>
      </c>
      <c r="D29" s="190">
        <v>31968</v>
      </c>
      <c r="E29" s="339">
        <v>0</v>
      </c>
      <c r="F29" s="219">
        <v>0</v>
      </c>
      <c r="G29" s="219">
        <v>0</v>
      </c>
      <c r="H29" s="481">
        <v>33651.120000000003</v>
      </c>
      <c r="I29" s="481">
        <v>4853.95</v>
      </c>
      <c r="J29" s="481">
        <v>5590.25</v>
      </c>
      <c r="K29" s="481">
        <v>6434.4</v>
      </c>
      <c r="L29" s="481">
        <v>7401.83</v>
      </c>
      <c r="M29" s="337">
        <f t="shared" si="0"/>
        <v>89899.549999999988</v>
      </c>
      <c r="N29" s="219">
        <v>0</v>
      </c>
    </row>
    <row r="30" spans="1:14">
      <c r="A30" s="119">
        <f t="shared" si="2"/>
        <v>2036</v>
      </c>
      <c r="B30" s="119">
        <f t="shared" si="2"/>
        <v>19</v>
      </c>
      <c r="C30" s="119">
        <f t="shared" si="2"/>
        <v>19</v>
      </c>
      <c r="D30" s="190">
        <v>31968</v>
      </c>
      <c r="E30" s="190">
        <f t="shared" ref="E30" si="3">E29*1.02</f>
        <v>0</v>
      </c>
      <c r="F30" s="219">
        <v>0</v>
      </c>
      <c r="G30" s="219">
        <v>0</v>
      </c>
      <c r="H30" s="219">
        <v>33651.120000000003</v>
      </c>
      <c r="I30" s="219">
        <v>4853.95</v>
      </c>
      <c r="J30" s="219">
        <v>5590.25</v>
      </c>
      <c r="K30" s="219">
        <v>6434.4</v>
      </c>
      <c r="L30" s="219">
        <v>7401.83</v>
      </c>
      <c r="M30" s="45">
        <f t="shared" si="0"/>
        <v>89899.549999999988</v>
      </c>
      <c r="N30" s="219">
        <v>0</v>
      </c>
    </row>
    <row r="31" spans="1:14">
      <c r="A31" s="119">
        <f t="shared" si="2"/>
        <v>2037</v>
      </c>
      <c r="B31" s="119">
        <f t="shared" si="2"/>
        <v>20</v>
      </c>
      <c r="C31" s="119">
        <f t="shared" si="2"/>
        <v>20</v>
      </c>
      <c r="D31" s="190">
        <v>31968</v>
      </c>
      <c r="E31" s="190">
        <f t="shared" ref="E31:E38" si="4">E30*1.02</f>
        <v>0</v>
      </c>
      <c r="F31" s="219">
        <v>0</v>
      </c>
      <c r="G31" s="219">
        <v>0</v>
      </c>
      <c r="H31" s="219">
        <v>33651.120000000003</v>
      </c>
      <c r="I31" s="219">
        <v>4853.95</v>
      </c>
      <c r="J31" s="219">
        <v>5590.25</v>
      </c>
      <c r="K31" s="219">
        <v>6434.4</v>
      </c>
      <c r="L31" s="219">
        <v>7401.83</v>
      </c>
      <c r="M31" s="45">
        <f t="shared" si="0"/>
        <v>89899.549999999988</v>
      </c>
      <c r="N31" s="219">
        <v>0</v>
      </c>
    </row>
    <row r="32" spans="1:14">
      <c r="A32" s="119">
        <f t="shared" si="2"/>
        <v>2038</v>
      </c>
      <c r="B32" s="119">
        <f t="shared" si="2"/>
        <v>21</v>
      </c>
      <c r="C32" s="148">
        <f t="shared" si="2"/>
        <v>21</v>
      </c>
      <c r="D32" s="190">
        <v>31968</v>
      </c>
      <c r="E32" s="190">
        <f t="shared" si="4"/>
        <v>0</v>
      </c>
      <c r="F32" s="219">
        <v>0</v>
      </c>
      <c r="G32" s="219">
        <v>0</v>
      </c>
      <c r="H32" s="219">
        <v>33651.120000000003</v>
      </c>
      <c r="I32" s="219">
        <v>4853.95</v>
      </c>
      <c r="J32" s="219">
        <v>5590.25</v>
      </c>
      <c r="K32" s="219">
        <v>6434.4</v>
      </c>
      <c r="L32" s="219">
        <v>7401.83</v>
      </c>
      <c r="M32" s="45">
        <f t="shared" si="0"/>
        <v>89899.549999999988</v>
      </c>
      <c r="N32" s="219">
        <v>0</v>
      </c>
    </row>
    <row r="33" spans="1:22">
      <c r="A33" s="119">
        <f t="shared" si="2"/>
        <v>2039</v>
      </c>
      <c r="B33" s="119">
        <f t="shared" si="2"/>
        <v>22</v>
      </c>
      <c r="C33" s="119">
        <f t="shared" si="2"/>
        <v>22</v>
      </c>
      <c r="D33" s="190">
        <v>31968</v>
      </c>
      <c r="E33" s="190">
        <f t="shared" si="4"/>
        <v>0</v>
      </c>
      <c r="F33" s="219">
        <v>0</v>
      </c>
      <c r="G33" s="219">
        <v>0</v>
      </c>
      <c r="H33" s="219">
        <v>33651.120000000003</v>
      </c>
      <c r="I33" s="219">
        <v>4853.95</v>
      </c>
      <c r="J33" s="219">
        <v>5590.25</v>
      </c>
      <c r="K33" s="219">
        <v>6434.4</v>
      </c>
      <c r="L33" s="219">
        <v>7401.83</v>
      </c>
      <c r="M33" s="45">
        <f t="shared" si="0"/>
        <v>89899.549999999988</v>
      </c>
      <c r="N33" s="219">
        <v>0</v>
      </c>
    </row>
    <row r="34" spans="1:22">
      <c r="A34" s="119">
        <f t="shared" si="2"/>
        <v>2040</v>
      </c>
      <c r="B34" s="119">
        <f t="shared" si="2"/>
        <v>23</v>
      </c>
      <c r="C34" s="119">
        <f t="shared" si="2"/>
        <v>23</v>
      </c>
      <c r="D34" s="190">
        <v>31968</v>
      </c>
      <c r="E34" s="190">
        <f t="shared" si="4"/>
        <v>0</v>
      </c>
      <c r="F34" s="219">
        <v>0</v>
      </c>
      <c r="G34" s="219">
        <v>0</v>
      </c>
      <c r="H34" s="219">
        <v>33651.120000000003</v>
      </c>
      <c r="I34" s="219">
        <v>4853.95</v>
      </c>
      <c r="J34" s="219">
        <v>5590.25</v>
      </c>
      <c r="K34" s="219">
        <v>6434.4</v>
      </c>
      <c r="L34" s="219">
        <v>7401.83</v>
      </c>
      <c r="M34" s="45">
        <f t="shared" si="0"/>
        <v>89899.549999999988</v>
      </c>
      <c r="N34" s="219">
        <v>0</v>
      </c>
    </row>
    <row r="35" spans="1:22">
      <c r="A35" s="119">
        <f t="shared" si="2"/>
        <v>2041</v>
      </c>
      <c r="B35" s="119">
        <f t="shared" si="2"/>
        <v>24</v>
      </c>
      <c r="C35" s="119">
        <f t="shared" si="2"/>
        <v>24</v>
      </c>
      <c r="D35" s="190">
        <v>31968</v>
      </c>
      <c r="E35" s="190">
        <f t="shared" si="4"/>
        <v>0</v>
      </c>
      <c r="F35" s="219">
        <v>0</v>
      </c>
      <c r="G35" s="219">
        <v>0</v>
      </c>
      <c r="H35" s="219">
        <v>33651.120000000003</v>
      </c>
      <c r="I35" s="219">
        <v>4853.95</v>
      </c>
      <c r="J35" s="219">
        <v>5590.25</v>
      </c>
      <c r="K35" s="219">
        <v>6434.4</v>
      </c>
      <c r="L35" s="219">
        <v>7401.83</v>
      </c>
      <c r="M35" s="45">
        <f t="shared" si="0"/>
        <v>89899.549999999988</v>
      </c>
      <c r="N35" s="219">
        <v>0</v>
      </c>
    </row>
    <row r="36" spans="1:22">
      <c r="A36" s="119">
        <f t="shared" si="2"/>
        <v>2042</v>
      </c>
      <c r="B36" s="119">
        <f t="shared" si="2"/>
        <v>25</v>
      </c>
      <c r="C36" s="119">
        <f t="shared" si="2"/>
        <v>25</v>
      </c>
      <c r="D36" s="190">
        <v>31968</v>
      </c>
      <c r="E36" s="190">
        <f t="shared" si="4"/>
        <v>0</v>
      </c>
      <c r="F36" s="219">
        <v>0</v>
      </c>
      <c r="G36" s="219">
        <v>0</v>
      </c>
      <c r="H36" s="219">
        <v>33651.120000000003</v>
      </c>
      <c r="I36" s="219">
        <v>4853.95</v>
      </c>
      <c r="J36" s="219">
        <v>5590.25</v>
      </c>
      <c r="K36" s="219">
        <v>6434.4</v>
      </c>
      <c r="L36" s="219">
        <v>7401.83</v>
      </c>
      <c r="M36" s="45">
        <f t="shared" si="0"/>
        <v>89899.549999999988</v>
      </c>
      <c r="N36" s="219">
        <v>0</v>
      </c>
    </row>
    <row r="37" spans="1:22">
      <c r="A37" s="119">
        <f t="shared" si="2"/>
        <v>2043</v>
      </c>
      <c r="B37" s="119">
        <f t="shared" si="2"/>
        <v>26</v>
      </c>
      <c r="C37" s="119">
        <f t="shared" si="2"/>
        <v>26</v>
      </c>
      <c r="D37" s="190">
        <v>31968</v>
      </c>
      <c r="E37" s="190">
        <f t="shared" si="4"/>
        <v>0</v>
      </c>
      <c r="F37" s="219">
        <v>0</v>
      </c>
      <c r="G37" s="219">
        <v>0</v>
      </c>
      <c r="H37" s="219">
        <v>33651.120000000003</v>
      </c>
      <c r="I37" s="219">
        <v>4853.95</v>
      </c>
      <c r="J37" s="219">
        <v>5590.25</v>
      </c>
      <c r="K37" s="219">
        <v>6434.4</v>
      </c>
      <c r="L37" s="219">
        <v>7401.83</v>
      </c>
      <c r="M37" s="45">
        <f t="shared" si="0"/>
        <v>89899.549999999988</v>
      </c>
      <c r="N37" s="219">
        <v>0</v>
      </c>
    </row>
    <row r="38" spans="1:22">
      <c r="A38" s="137">
        <f t="shared" si="2"/>
        <v>2044</v>
      </c>
      <c r="B38" s="137">
        <f t="shared" si="2"/>
        <v>27</v>
      </c>
      <c r="C38" s="137">
        <f t="shared" si="2"/>
        <v>27</v>
      </c>
      <c r="D38" s="190">
        <v>31968</v>
      </c>
      <c r="E38" s="190">
        <f t="shared" si="4"/>
        <v>0</v>
      </c>
      <c r="F38" s="219">
        <v>0</v>
      </c>
      <c r="G38" s="219">
        <v>0</v>
      </c>
      <c r="H38" s="219">
        <v>33651.120000000003</v>
      </c>
      <c r="I38" s="219">
        <v>4853.95</v>
      </c>
      <c r="J38" s="219">
        <v>5590.25</v>
      </c>
      <c r="K38" s="219">
        <v>6434.4</v>
      </c>
      <c r="L38" s="219">
        <v>7401.83</v>
      </c>
      <c r="M38" s="45">
        <f t="shared" si="0"/>
        <v>89899.549999999988</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7:J7"/>
    <mergeCell ref="A10:C10"/>
    <mergeCell ref="D1:I1"/>
    <mergeCell ref="J1:L1"/>
    <mergeCell ref="E2:I2"/>
    <mergeCell ref="C3:L3"/>
    <mergeCell ref="C4:M4"/>
    <mergeCell ref="D5:J5"/>
    <mergeCell ref="D6:K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5422223578601"/>
  </sheetPr>
  <dimension ref="A1:Q66"/>
  <sheetViews>
    <sheetView showGridLines="0" workbookViewId="0"/>
  </sheetViews>
  <sheetFormatPr defaultColWidth="9.125" defaultRowHeight="12.45"/>
  <cols>
    <col min="1" max="1" width="14" customWidth="1"/>
    <col min="2" max="2" width="14.25" style="89" customWidth="1"/>
    <col min="3" max="3" width="38.75" customWidth="1"/>
    <col min="4" max="4" width="14.25" customWidth="1"/>
    <col min="5" max="5" width="21.375" style="152" customWidth="1"/>
    <col min="6" max="6" width="7.125"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20.3">
      <c r="D1" s="308"/>
      <c r="E1" s="1608" t="s">
        <v>135</v>
      </c>
      <c r="F1" s="1608"/>
      <c r="G1" s="922">
        <f ca="1">TODAY()</f>
        <v>46198</v>
      </c>
      <c r="H1" s="308"/>
      <c r="I1" s="308"/>
      <c r="K1" s="1028" t="s">
        <v>136</v>
      </c>
      <c r="M1" s="192"/>
      <c r="O1" s="191"/>
    </row>
    <row r="2" spans="1:16" ht="15.05">
      <c r="B2" s="422"/>
      <c r="D2" s="307"/>
      <c r="E2" s="307"/>
      <c r="F2" s="307"/>
      <c r="G2" s="307"/>
      <c r="H2" s="307"/>
      <c r="I2" s="307"/>
      <c r="L2" s="192"/>
      <c r="M2" s="192"/>
    </row>
    <row r="3" spans="1:16" ht="20.3">
      <c r="E3" s="1609" t="s">
        <v>137</v>
      </c>
      <c r="F3" s="1609"/>
      <c r="G3" s="1609"/>
      <c r="H3" s="1609"/>
      <c r="I3" s="1609"/>
      <c r="J3" s="1609"/>
      <c r="K3" s="1609"/>
      <c r="L3" s="1043"/>
      <c r="M3" s="560"/>
      <c r="N3" s="996"/>
      <c r="O3" s="996"/>
    </row>
    <row r="4" spans="1:16" ht="17.7">
      <c r="E4" s="1610"/>
      <c r="F4" s="1610"/>
      <c r="G4" s="1610"/>
      <c r="H4" s="1610"/>
      <c r="I4" s="1610"/>
      <c r="J4" s="1610"/>
      <c r="K4" s="1610"/>
      <c r="L4" s="1044"/>
      <c r="M4" s="560"/>
      <c r="N4" s="608"/>
      <c r="O4" s="608"/>
      <c r="P4" s="306"/>
    </row>
    <row r="5" spans="1:16" ht="17.7">
      <c r="G5" s="1045"/>
      <c r="H5" s="1045"/>
      <c r="I5" s="1045"/>
      <c r="J5" s="1045"/>
      <c r="M5" s="475"/>
      <c r="N5" s="608"/>
      <c r="O5" s="608"/>
      <c r="P5" s="306"/>
    </row>
    <row r="6" spans="1:16" s="15" customFormat="1" ht="11.45" customHeight="1">
      <c r="A6" s="7" t="s">
        <v>138</v>
      </c>
      <c r="B6" s="8"/>
      <c r="C6" s="605"/>
      <c r="D6" s="9"/>
      <c r="E6" s="610" t="s">
        <v>139</v>
      </c>
      <c r="F6" s="11"/>
      <c r="G6" s="611" t="s">
        <v>140</v>
      </c>
      <c r="H6" s="11"/>
      <c r="I6" s="612" t="s">
        <v>141</v>
      </c>
      <c r="J6" s="13"/>
      <c r="K6" s="612" t="s">
        <v>142</v>
      </c>
      <c r="L6" s="48"/>
      <c r="M6" s="11" t="s">
        <v>143</v>
      </c>
      <c r="N6" s="11"/>
      <c r="O6" s="14" t="s">
        <v>144</v>
      </c>
    </row>
    <row r="7" spans="1:16" s="15" customFormat="1" ht="14.1" customHeight="1">
      <c r="A7" s="193"/>
      <c r="C7" s="196"/>
      <c r="E7" s="204"/>
      <c r="G7" s="353"/>
      <c r="I7" s="49"/>
      <c r="J7" s="49"/>
      <c r="K7" s="195"/>
      <c r="L7" s="50"/>
      <c r="M7" s="49"/>
      <c r="N7" s="49"/>
      <c r="O7" s="49"/>
    </row>
    <row r="8" spans="1:16" s="15" customFormat="1" ht="17.7">
      <c r="A8" s="893" t="s">
        <v>145</v>
      </c>
      <c r="C8" s="1029" t="s">
        <v>146</v>
      </c>
      <c r="E8" s="194"/>
      <c r="G8" s="18"/>
      <c r="I8" s="49"/>
      <c r="J8" s="49"/>
      <c r="K8" s="895">
        <v>1000</v>
      </c>
      <c r="L8" s="50"/>
      <c r="M8" s="49"/>
      <c r="N8" s="49"/>
      <c r="O8" s="49"/>
    </row>
    <row r="9" spans="1:16" s="15" customFormat="1" ht="17.7">
      <c r="A9" s="893" t="s">
        <v>145</v>
      </c>
      <c r="C9" s="894" t="s">
        <v>147</v>
      </c>
      <c r="E9" s="194"/>
      <c r="G9" s="18"/>
      <c r="I9" s="49"/>
      <c r="J9" s="49"/>
      <c r="K9" s="895">
        <v>18000</v>
      </c>
      <c r="L9" s="50"/>
      <c r="M9" s="49"/>
      <c r="N9" s="49"/>
      <c r="O9" s="49"/>
    </row>
    <row r="10" spans="1:16" s="15" customFormat="1" ht="17.7">
      <c r="A10" s="893" t="s">
        <v>148</v>
      </c>
      <c r="C10" s="896" t="s">
        <v>149</v>
      </c>
      <c r="E10" s="194"/>
      <c r="G10" s="18"/>
      <c r="I10" s="49"/>
      <c r="J10" s="49"/>
      <c r="K10" s="897">
        <v>366</v>
      </c>
      <c r="L10" s="50"/>
      <c r="M10" s="49"/>
      <c r="N10" s="49"/>
      <c r="O10" s="49"/>
    </row>
    <row r="11" spans="1:16" s="15" customFormat="1" ht="17.7">
      <c r="A11" s="893" t="s">
        <v>150</v>
      </c>
      <c r="C11" s="896" t="s">
        <v>151</v>
      </c>
      <c r="E11" s="194"/>
      <c r="G11" s="18"/>
      <c r="I11" s="49"/>
      <c r="J11" s="49"/>
      <c r="K11" s="895">
        <v>333</v>
      </c>
      <c r="L11" s="606"/>
      <c r="M11" s="590"/>
      <c r="N11" s="49"/>
      <c r="O11" s="49"/>
    </row>
    <row r="12" spans="1:16" s="15" customFormat="1" ht="17.7">
      <c r="A12" s="893" t="s">
        <v>150</v>
      </c>
      <c r="C12" s="896" t="s">
        <v>152</v>
      </c>
      <c r="E12" s="194"/>
      <c r="G12" s="18"/>
      <c r="I12" s="49"/>
      <c r="J12" s="49"/>
      <c r="K12" s="895">
        <v>1400</v>
      </c>
      <c r="L12" s="606"/>
      <c r="N12" s="49"/>
      <c r="O12" s="49"/>
    </row>
    <row r="13" spans="1:16" s="15" customFormat="1" ht="17.7">
      <c r="A13" s="893" t="s">
        <v>150</v>
      </c>
      <c r="C13" s="896" t="s">
        <v>153</v>
      </c>
      <c r="E13" s="194"/>
      <c r="G13" s="18"/>
      <c r="I13" s="49"/>
      <c r="J13" s="49"/>
      <c r="K13" s="895">
        <v>275</v>
      </c>
      <c r="L13" s="606"/>
      <c r="N13" s="49"/>
      <c r="O13" s="49"/>
    </row>
    <row r="14" spans="1:16" s="15" customFormat="1" ht="14.1" customHeight="1">
      <c r="A14" s="898" t="s">
        <v>154</v>
      </c>
      <c r="C14" s="894" t="s">
        <v>155</v>
      </c>
      <c r="D14" s="598"/>
      <c r="E14" s="194"/>
      <c r="G14" s="200"/>
      <c r="I14" s="49"/>
      <c r="J14" s="49"/>
      <c r="K14" s="895">
        <v>31000</v>
      </c>
      <c r="L14" s="56"/>
      <c r="M14" s="49"/>
      <c r="N14" s="49"/>
      <c r="O14" s="49"/>
    </row>
    <row r="15" spans="1:16" s="15" customFormat="1" ht="14.1" customHeight="1">
      <c r="A15" s="893"/>
      <c r="C15" s="896"/>
      <c r="D15" s="598"/>
      <c r="E15" s="194"/>
      <c r="G15" s="200"/>
      <c r="I15" s="49"/>
      <c r="J15" s="49"/>
      <c r="K15" s="895">
        <v>0</v>
      </c>
      <c r="L15" s="56"/>
      <c r="M15" s="49"/>
      <c r="N15" s="49"/>
      <c r="O15" s="49"/>
    </row>
    <row r="16" spans="1:16" s="15" customFormat="1" ht="14.1" customHeight="1">
      <c r="A16" s="893"/>
      <c r="C16" s="896"/>
      <c r="D16" s="598"/>
      <c r="E16" s="194"/>
      <c r="G16" s="200"/>
      <c r="I16" s="49"/>
      <c r="J16" s="49"/>
      <c r="K16" s="895">
        <v>0</v>
      </c>
      <c r="L16" s="56"/>
      <c r="M16" s="49"/>
      <c r="N16" s="49"/>
      <c r="O16" s="49"/>
    </row>
    <row r="17" spans="1:15" s="15" customFormat="1" ht="17.7">
      <c r="A17" s="16"/>
      <c r="E17" s="17"/>
      <c r="G17" s="18"/>
      <c r="I17" s="49"/>
      <c r="J17" s="49"/>
      <c r="K17" s="51"/>
      <c r="L17" s="50"/>
      <c r="M17" s="669">
        <f>SUM(K8:K16)</f>
        <v>52374</v>
      </c>
      <c r="N17" s="49"/>
      <c r="O17" s="49"/>
    </row>
    <row r="18" spans="1:15" s="15" customFormat="1" ht="17.7">
      <c r="A18" s="16"/>
      <c r="E18" s="17"/>
      <c r="G18" s="18"/>
      <c r="I18" s="49"/>
      <c r="J18" s="49"/>
      <c r="K18" s="49"/>
      <c r="L18" s="50"/>
      <c r="M18" s="49"/>
      <c r="N18" s="49"/>
      <c r="O18" s="205">
        <f>SUM(M17)</f>
        <v>52374</v>
      </c>
    </row>
    <row r="19" spans="1:15" s="15" customFormat="1" ht="14.1" customHeight="1">
      <c r="A19" s="7" t="s">
        <v>156</v>
      </c>
      <c r="B19" s="11"/>
      <c r="C19" s="9"/>
      <c r="D19" s="11"/>
      <c r="E19" s="10" t="s">
        <v>139</v>
      </c>
      <c r="F19" s="11"/>
      <c r="G19" s="12" t="s">
        <v>140</v>
      </c>
      <c r="H19" s="11"/>
      <c r="I19" s="13" t="s">
        <v>141</v>
      </c>
      <c r="J19" s="13"/>
      <c r="K19" s="13" t="s">
        <v>142</v>
      </c>
      <c r="L19" s="48"/>
      <c r="M19" s="11" t="s">
        <v>143</v>
      </c>
      <c r="N19" s="11"/>
      <c r="O19" s="14" t="s">
        <v>144</v>
      </c>
    </row>
    <row r="20" spans="1:15" s="15" customFormat="1" ht="17.7">
      <c r="A20" s="898"/>
      <c r="B20" s="197"/>
      <c r="C20" s="894"/>
      <c r="D20" s="899"/>
      <c r="E20" s="588"/>
      <c r="G20" s="200"/>
      <c r="I20" s="201"/>
      <c r="J20" s="49"/>
      <c r="K20" s="895">
        <v>0</v>
      </c>
      <c r="L20" s="56"/>
      <c r="M20" s="49"/>
      <c r="N20" s="49"/>
      <c r="O20" s="49"/>
    </row>
    <row r="21" spans="1:15" s="15" customFormat="1" ht="17.7">
      <c r="A21" s="900" t="s">
        <v>148</v>
      </c>
      <c r="B21" s="203"/>
      <c r="C21" s="894" t="s">
        <v>157</v>
      </c>
      <c r="D21" s="899" t="s">
        <v>158</v>
      </c>
      <c r="E21" s="194"/>
      <c r="G21" s="1607"/>
      <c r="H21" s="1607"/>
      <c r="I21" s="1607"/>
      <c r="J21" s="1607"/>
      <c r="K21" s="897">
        <v>4000</v>
      </c>
      <c r="L21" s="446"/>
      <c r="M21" s="201"/>
      <c r="N21" s="49"/>
      <c r="O21" s="205"/>
    </row>
    <row r="22" spans="1:15" s="15" customFormat="1" ht="14.1" customHeight="1">
      <c r="A22" s="900"/>
      <c r="B22" s="203"/>
      <c r="C22" s="894"/>
      <c r="D22" s="901"/>
      <c r="E22" s="194"/>
      <c r="G22" s="1607"/>
      <c r="H22" s="1607"/>
      <c r="I22" s="1607"/>
      <c r="J22" s="1607"/>
      <c r="K22" s="897">
        <v>0</v>
      </c>
      <c r="L22" s="50"/>
      <c r="M22" s="49"/>
      <c r="N22" s="49"/>
      <c r="O22" s="49"/>
    </row>
    <row r="23" spans="1:15" ht="17.7">
      <c r="A23" s="900"/>
      <c r="C23" s="894"/>
      <c r="D23" s="901"/>
      <c r="E23" s="17"/>
      <c r="K23" s="897">
        <v>0</v>
      </c>
    </row>
    <row r="24" spans="1:15" ht="17.7">
      <c r="A24" s="900" t="s">
        <v>150</v>
      </c>
      <c r="C24" s="894" t="s">
        <v>159</v>
      </c>
      <c r="D24" s="901"/>
      <c r="E24" s="17"/>
      <c r="K24" s="897">
        <v>7000</v>
      </c>
    </row>
    <row r="25" spans="1:15" ht="17.7">
      <c r="A25" s="900"/>
      <c r="C25" s="894"/>
      <c r="D25" s="901"/>
      <c r="E25" s="17"/>
      <c r="K25" s="897">
        <v>0</v>
      </c>
    </row>
    <row r="26" spans="1:15" s="15" customFormat="1" ht="17.7">
      <c r="A26" s="921"/>
      <c r="B26" s="203"/>
      <c r="C26" s="896"/>
      <c r="D26" s="899"/>
      <c r="E26" s="194"/>
      <c r="G26" s="18"/>
      <c r="I26" s="201"/>
      <c r="J26" s="49"/>
      <c r="K26" s="897">
        <v>0</v>
      </c>
      <c r="L26" s="50"/>
      <c r="M26" s="49"/>
      <c r="N26" s="49"/>
      <c r="O26" s="49"/>
    </row>
    <row r="27" spans="1:15" s="15" customFormat="1" ht="14.1" customHeight="1">
      <c r="A27" s="921"/>
      <c r="B27" s="203"/>
      <c r="C27" s="896"/>
      <c r="D27" s="899"/>
      <c r="E27" s="194"/>
      <c r="G27" s="1607"/>
      <c r="H27" s="1607"/>
      <c r="I27" s="1607"/>
      <c r="J27" s="1607"/>
      <c r="K27" s="897">
        <v>0</v>
      </c>
      <c r="L27" s="50"/>
      <c r="M27" s="49"/>
      <c r="N27" s="49"/>
      <c r="O27" s="49"/>
    </row>
    <row r="28" spans="1:15" s="15" customFormat="1" ht="14.1" customHeight="1">
      <c r="A28" s="921"/>
      <c r="B28" s="203"/>
      <c r="C28" s="896"/>
      <c r="D28" s="899"/>
      <c r="E28" s="194"/>
      <c r="G28" s="18"/>
      <c r="I28" s="201"/>
      <c r="J28" s="49"/>
      <c r="K28" s="897">
        <v>0</v>
      </c>
      <c r="L28" s="50"/>
      <c r="M28" s="49"/>
      <c r="N28" s="49"/>
      <c r="O28" s="49"/>
    </row>
    <row r="29" spans="1:15" s="15" customFormat="1" ht="14.1" customHeight="1">
      <c r="A29" s="900"/>
      <c r="B29" s="203"/>
      <c r="C29" s="896"/>
      <c r="D29" s="899"/>
      <c r="E29" s="199"/>
      <c r="G29" s="18"/>
      <c r="I29" s="201"/>
      <c r="J29" s="49"/>
      <c r="K29" s="897">
        <v>0</v>
      </c>
      <c r="L29" s="50"/>
      <c r="M29" s="49"/>
      <c r="N29" s="49"/>
      <c r="O29" s="49"/>
    </row>
    <row r="30" spans="1:15" s="15" customFormat="1" ht="17.7">
      <c r="A30" s="52"/>
      <c r="B30" s="203"/>
      <c r="C30" s="196"/>
      <c r="D30" s="198"/>
      <c r="G30" s="200"/>
      <c r="I30" s="201"/>
      <c r="J30" s="49"/>
      <c r="K30" s="202"/>
      <c r="L30" s="50"/>
      <c r="M30" s="495">
        <f>SUM(K20:K30)</f>
        <v>11000</v>
      </c>
      <c r="N30" s="49"/>
      <c r="O30" s="49"/>
    </row>
    <row r="31" spans="1:15" ht="17.7">
      <c r="A31" s="902" t="s">
        <v>160</v>
      </c>
      <c r="C31" s="1152" t="s">
        <v>161</v>
      </c>
      <c r="D31" s="1151">
        <v>44103</v>
      </c>
      <c r="E31" s="1150" t="s">
        <v>162</v>
      </c>
      <c r="G31" s="969" t="s">
        <v>163</v>
      </c>
      <c r="H31" s="1604" t="s">
        <v>164</v>
      </c>
      <c r="I31" s="1604"/>
      <c r="J31" s="1604"/>
      <c r="K31" s="904">
        <v>69120</v>
      </c>
      <c r="M31" s="671">
        <f>K31</f>
        <v>69120</v>
      </c>
    </row>
    <row r="32" spans="1:15" ht="17.7">
      <c r="A32" s="902" t="s">
        <v>160</v>
      </c>
      <c r="C32" s="903" t="s">
        <v>165</v>
      </c>
      <c r="D32" s="1073"/>
      <c r="K32" s="904">
        <v>100000</v>
      </c>
      <c r="M32" s="671">
        <f>K32</f>
        <v>100000</v>
      </c>
    </row>
    <row r="33" spans="1:17" s="15" customFormat="1" ht="17.7">
      <c r="A33" s="16"/>
      <c r="B33" s="16"/>
      <c r="E33" s="17"/>
      <c r="G33" s="18"/>
      <c r="I33" s="145"/>
      <c r="J33" s="146"/>
      <c r="K33" s="145"/>
      <c r="L33" s="50"/>
      <c r="O33" s="323">
        <f>SUM(M30:M32)</f>
        <v>180120</v>
      </c>
    </row>
    <row r="34" spans="1:17" s="15" customFormat="1" ht="14.1" customHeight="1">
      <c r="A34" s="7" t="s">
        <v>166</v>
      </c>
      <c r="B34" s="8"/>
      <c r="C34" s="9"/>
      <c r="D34" s="9"/>
      <c r="E34" s="11"/>
      <c r="F34" s="9"/>
      <c r="G34" s="20"/>
      <c r="H34" s="20"/>
      <c r="I34" s="53"/>
      <c r="J34" s="53"/>
      <c r="K34" s="53"/>
      <c r="L34" s="48"/>
      <c r="M34" s="9"/>
      <c r="N34" s="9"/>
      <c r="O34" s="54"/>
    </row>
    <row r="35" spans="1:17" s="15" customFormat="1" ht="17.7">
      <c r="E35" s="17"/>
      <c r="G35" s="18"/>
      <c r="I35" s="49"/>
      <c r="J35" s="49"/>
      <c r="K35" s="55"/>
      <c r="L35" s="56"/>
      <c r="M35" s="57"/>
      <c r="N35" s="57"/>
      <c r="O35" s="323">
        <f>SUM(O18+O33)</f>
        <v>232494</v>
      </c>
    </row>
    <row r="36" spans="1:17" s="15" customFormat="1" ht="14.1" customHeight="1">
      <c r="A36" s="7" t="s">
        <v>167</v>
      </c>
      <c r="B36" s="9"/>
      <c r="C36" s="9"/>
      <c r="D36" s="9"/>
      <c r="E36" s="10" t="s">
        <v>168</v>
      </c>
      <c r="F36" s="11"/>
      <c r="G36" s="12" t="s">
        <v>169</v>
      </c>
      <c r="H36" s="11"/>
      <c r="I36" s="11" t="s">
        <v>170</v>
      </c>
      <c r="J36" s="11"/>
      <c r="K36" s="11" t="s">
        <v>171</v>
      </c>
      <c r="L36" s="48"/>
      <c r="M36" s="11" t="s">
        <v>172</v>
      </c>
      <c r="N36" s="59"/>
      <c r="O36" s="60"/>
    </row>
    <row r="37" spans="1:17" s="15" customFormat="1" ht="14.1" customHeight="1">
      <c r="A37" s="362"/>
      <c r="B37" s="363"/>
      <c r="C37" s="363"/>
      <c r="D37" s="363"/>
      <c r="E37" s="364"/>
      <c r="F37" s="365"/>
      <c r="G37" s="366"/>
      <c r="H37" s="365"/>
      <c r="I37" s="365"/>
      <c r="J37" s="365"/>
      <c r="K37" s="365"/>
      <c r="L37" s="367"/>
      <c r="M37" s="365"/>
      <c r="N37" s="368"/>
      <c r="O37" s="368"/>
    </row>
    <row r="38" spans="1:17" s="15" customFormat="1" ht="14.1" customHeight="1">
      <c r="A38" s="905" t="s">
        <v>148</v>
      </c>
      <c r="C38" s="906" t="s">
        <v>173</v>
      </c>
      <c r="E38" s="907"/>
      <c r="G38" s="908"/>
      <c r="I38" s="909"/>
      <c r="J38" s="49"/>
      <c r="K38" s="910">
        <v>0</v>
      </c>
      <c r="L38" s="56"/>
      <c r="M38" s="911">
        <v>377000</v>
      </c>
      <c r="N38" s="57"/>
      <c r="O38" s="58"/>
    </row>
    <row r="39" spans="1:17" s="15" customFormat="1" ht="14.1" customHeight="1">
      <c r="A39" s="905" t="s">
        <v>154</v>
      </c>
      <c r="C39" s="906" t="s">
        <v>173</v>
      </c>
      <c r="E39" s="907"/>
      <c r="G39" s="908"/>
      <c r="I39" s="909"/>
      <c r="J39" s="49"/>
      <c r="K39" s="910">
        <v>0</v>
      </c>
      <c r="L39" s="56"/>
      <c r="M39" s="911">
        <v>128000</v>
      </c>
      <c r="N39" s="57"/>
      <c r="O39" s="58"/>
    </row>
    <row r="40" spans="1:17" s="15" customFormat="1" ht="14.1" customHeight="1">
      <c r="A40" s="905"/>
      <c r="C40" s="906"/>
      <c r="E40" s="907"/>
      <c r="G40" s="908"/>
      <c r="I40" s="909"/>
      <c r="J40" s="49"/>
      <c r="K40" s="910">
        <v>0</v>
      </c>
      <c r="L40" s="56"/>
      <c r="M40" s="911">
        <v>0</v>
      </c>
      <c r="N40" s="57"/>
      <c r="O40" s="58"/>
    </row>
    <row r="41" spans="1:17" s="15" customFormat="1" ht="14.1" customHeight="1">
      <c r="A41" s="905"/>
      <c r="C41" s="906"/>
      <c r="E41" s="907"/>
      <c r="G41" s="908"/>
      <c r="I41" s="909"/>
      <c r="J41" s="49"/>
      <c r="K41" s="910">
        <v>0</v>
      </c>
      <c r="L41" s="56"/>
      <c r="M41" s="911">
        <v>0</v>
      </c>
      <c r="N41" s="57"/>
      <c r="O41" s="58"/>
    </row>
    <row r="42" spans="1:17" s="15" customFormat="1" ht="13.6" customHeight="1">
      <c r="A42" s="16"/>
      <c r="E42" s="153"/>
      <c r="G42" s="18"/>
      <c r="I42" s="49"/>
      <c r="J42" s="49"/>
      <c r="K42" s="591" t="s">
        <v>174</v>
      </c>
      <c r="L42" s="56"/>
      <c r="M42" s="147"/>
      <c r="N42" s="57"/>
      <c r="O42" s="323">
        <f>SUM(K38:K41)</f>
        <v>0</v>
      </c>
    </row>
    <row r="43" spans="1:17" s="2" customFormat="1" ht="13.6" customHeight="1">
      <c r="A43" s="24" t="s">
        <v>175</v>
      </c>
      <c r="B43" s="29"/>
      <c r="C43" s="30"/>
      <c r="D43" s="29"/>
      <c r="E43" s="13" t="s">
        <v>176</v>
      </c>
      <c r="F43" s="25"/>
      <c r="G43" s="25" t="s">
        <v>169</v>
      </c>
      <c r="H43" s="26"/>
      <c r="I43" s="25" t="s">
        <v>170</v>
      </c>
      <c r="J43" s="11"/>
      <c r="K43" s="26" t="s">
        <v>177</v>
      </c>
      <c r="L43" s="25"/>
      <c r="M43" s="13" t="s">
        <v>178</v>
      </c>
      <c r="N43" s="11"/>
      <c r="O43" s="27" t="s">
        <v>179</v>
      </c>
      <c r="P43" s="28"/>
      <c r="Q43" s="28"/>
    </row>
    <row r="44" spans="1:17" ht="14.1" customHeight="1">
      <c r="A44" s="905" t="s">
        <v>148</v>
      </c>
      <c r="B44" s="31"/>
      <c r="C44" s="906" t="s">
        <v>92</v>
      </c>
      <c r="D44" s="2"/>
      <c r="E44" s="912"/>
      <c r="F44" s="2"/>
      <c r="G44" s="913"/>
      <c r="H44" s="2"/>
      <c r="I44" s="914" t="s">
        <v>180</v>
      </c>
      <c r="J44" s="61"/>
      <c r="K44" s="915" t="s">
        <v>180</v>
      </c>
      <c r="L44" s="62"/>
      <c r="M44" s="916">
        <v>109500</v>
      </c>
      <c r="N44" s="63"/>
      <c r="O44" s="917"/>
    </row>
    <row r="45" spans="1:17" ht="14.1" customHeight="1">
      <c r="A45" s="905" t="s">
        <v>154</v>
      </c>
      <c r="B45" s="31"/>
      <c r="C45" s="906"/>
      <c r="D45" s="2"/>
      <c r="E45" s="912"/>
      <c r="F45" s="2"/>
      <c r="G45" s="913"/>
      <c r="H45" s="2"/>
      <c r="I45" s="914" t="s">
        <v>180</v>
      </c>
      <c r="J45" s="61"/>
      <c r="K45" s="915" t="s">
        <v>180</v>
      </c>
      <c r="L45" s="62"/>
      <c r="M45" s="916"/>
      <c r="N45" s="63"/>
      <c r="O45" s="917"/>
    </row>
    <row r="46" spans="1:17" ht="14.1" customHeight="1">
      <c r="A46" s="905"/>
      <c r="B46" s="31"/>
      <c r="C46" s="906"/>
      <c r="D46" s="2"/>
      <c r="E46" s="912"/>
      <c r="F46" s="2"/>
      <c r="G46" s="913"/>
      <c r="H46" s="2"/>
      <c r="I46" s="914" t="s">
        <v>180</v>
      </c>
      <c r="J46" s="61"/>
      <c r="K46" s="915" t="s">
        <v>180</v>
      </c>
      <c r="L46" s="62"/>
      <c r="M46" s="916"/>
      <c r="N46" s="63"/>
      <c r="O46" s="917"/>
    </row>
    <row r="47" spans="1:17" ht="14.1" customHeight="1">
      <c r="A47" s="905"/>
      <c r="B47" s="31"/>
      <c r="C47" s="906"/>
      <c r="D47" s="2"/>
      <c r="E47" s="912"/>
      <c r="F47" s="2"/>
      <c r="G47" s="913"/>
      <c r="H47" s="2"/>
      <c r="I47" s="914" t="s">
        <v>180</v>
      </c>
      <c r="J47" s="61"/>
      <c r="K47" s="915" t="s">
        <v>180</v>
      </c>
      <c r="L47" s="62"/>
      <c r="M47" s="916"/>
      <c r="N47" s="63"/>
      <c r="O47" s="917"/>
    </row>
    <row r="48" spans="1:17" s="15" customFormat="1" ht="17.7">
      <c r="A48" s="7" t="s">
        <v>181</v>
      </c>
      <c r="B48" s="1605" t="s">
        <v>182</v>
      </c>
      <c r="C48" s="1605"/>
      <c r="D48" s="1606" t="s">
        <v>183</v>
      </c>
      <c r="E48" s="1606"/>
      <c r="F48" s="11" t="s">
        <v>184</v>
      </c>
      <c r="G48" s="64" t="s">
        <v>185</v>
      </c>
      <c r="H48" s="59"/>
      <c r="I48" s="59" t="s">
        <v>186</v>
      </c>
      <c r="J48" s="59"/>
      <c r="K48" s="59" t="s">
        <v>187</v>
      </c>
      <c r="L48" s="48"/>
      <c r="M48" s="59" t="s">
        <v>188</v>
      </c>
      <c r="N48" s="59"/>
      <c r="O48" s="60"/>
    </row>
    <row r="49" spans="1:15" s="15" customFormat="1" ht="17.7">
      <c r="A49" s="905" t="s">
        <v>189</v>
      </c>
      <c r="B49" s="1602" t="s">
        <v>190</v>
      </c>
      <c r="C49" s="1602"/>
      <c r="D49" s="1603" t="s">
        <v>191</v>
      </c>
      <c r="E49" s="1603"/>
      <c r="F49" s="1036" t="s">
        <v>192</v>
      </c>
      <c r="G49" s="1036">
        <v>60188</v>
      </c>
      <c r="I49" s="918">
        <v>32000</v>
      </c>
      <c r="J49" s="49"/>
      <c r="K49" s="919">
        <v>240000</v>
      </c>
      <c r="L49" s="50"/>
      <c r="M49" s="195">
        <f>K49-I49</f>
        <v>208000</v>
      </c>
      <c r="N49" s="49"/>
      <c r="O49" s="49"/>
    </row>
    <row r="50" spans="1:15" s="15" customFormat="1" ht="17.7">
      <c r="A50" s="905"/>
      <c r="B50" s="1602"/>
      <c r="C50" s="1602"/>
      <c r="D50" s="1603"/>
      <c r="E50" s="1603"/>
      <c r="F50" s="1036"/>
      <c r="G50" s="1036"/>
      <c r="I50" s="920">
        <v>0</v>
      </c>
      <c r="J50" s="49"/>
      <c r="K50" s="919">
        <v>0</v>
      </c>
      <c r="L50" s="50"/>
      <c r="M50" s="195">
        <f>K50-I50</f>
        <v>0</v>
      </c>
      <c r="N50" s="49"/>
      <c r="O50" s="49"/>
    </row>
    <row r="51" spans="1:15" s="15" customFormat="1" ht="17.7">
      <c r="A51" s="905"/>
      <c r="B51" s="1602"/>
      <c r="C51" s="1602"/>
      <c r="D51" s="1603"/>
      <c r="E51" s="1603"/>
      <c r="F51" s="1036"/>
      <c r="G51" s="1036"/>
      <c r="I51" s="207"/>
      <c r="J51" s="49"/>
      <c r="K51" s="195"/>
      <c r="L51" s="50"/>
      <c r="M51" s="195">
        <f>K51-I51</f>
        <v>0</v>
      </c>
      <c r="N51" s="49"/>
      <c r="O51" s="323">
        <f>SUM(K49+K50)</f>
        <v>240000</v>
      </c>
    </row>
    <row r="52" spans="1:15" s="15" customFormat="1" ht="14.1" customHeight="1">
      <c r="A52" s="21"/>
      <c r="B52" s="1037"/>
      <c r="C52" s="1037"/>
      <c r="D52" s="1037"/>
      <c r="E52" s="1038"/>
      <c r="F52" s="22"/>
      <c r="G52" s="23"/>
      <c r="H52" s="22"/>
      <c r="I52" s="65"/>
      <c r="J52" s="65"/>
      <c r="K52" s="65"/>
      <c r="L52" s="66"/>
      <c r="M52" s="65"/>
      <c r="N52" s="65"/>
      <c r="O52" s="67"/>
    </row>
    <row r="53" spans="1:15" s="15" customFormat="1" ht="17.7">
      <c r="A53" s="19" t="s">
        <v>193</v>
      </c>
      <c r="E53" s="17"/>
      <c r="G53" s="18"/>
      <c r="I53" s="49"/>
      <c r="J53" s="49"/>
      <c r="K53" s="49"/>
      <c r="L53" s="50"/>
      <c r="M53" s="323" t="s">
        <v>194</v>
      </c>
      <c r="N53" s="57"/>
      <c r="O53" s="205">
        <f>SUM(O18+O33+O42+O51,K50:K51)</f>
        <v>472494</v>
      </c>
    </row>
    <row r="54" spans="1:15" s="15" customFormat="1" ht="17.7">
      <c r="A54" s="138"/>
      <c r="E54" s="17"/>
      <c r="G54" s="18"/>
      <c r="I54" s="49"/>
      <c r="J54" s="49"/>
      <c r="K54" s="49"/>
      <c r="L54" s="50"/>
      <c r="M54" s="323" t="s">
        <v>195</v>
      </c>
      <c r="N54" s="57"/>
      <c r="O54" s="589">
        <f>SUM(I49:I51)</f>
        <v>32000</v>
      </c>
    </row>
    <row r="55" spans="1:15" s="15" customFormat="1" ht="17.7">
      <c r="E55" s="17"/>
      <c r="G55" s="18"/>
      <c r="I55" s="49"/>
      <c r="J55" s="49"/>
      <c r="K55" s="49"/>
      <c r="L55" s="50"/>
      <c r="M55" s="323" t="s">
        <v>196</v>
      </c>
      <c r="N55" s="57"/>
      <c r="O55" s="205">
        <f>O53-O54</f>
        <v>440494</v>
      </c>
    </row>
    <row r="56" spans="1:15" ht="12.95" customHeight="1"/>
    <row r="57" spans="1:15" ht="12.95" customHeight="1"/>
    <row r="58" spans="1:15" ht="12.95" customHeight="1"/>
    <row r="59" spans="1:15" ht="12.95" customHeight="1"/>
    <row r="60" spans="1:15" ht="12.95" customHeight="1"/>
    <row r="61" spans="1:15" ht="12.95" customHeight="1"/>
    <row r="62" spans="1:15" ht="12.95" customHeight="1"/>
    <row r="63" spans="1:15" s="2" customFormat="1" ht="12.95" customHeight="1">
      <c r="E63" s="32"/>
      <c r="G63" s="5"/>
      <c r="L63" s="47"/>
    </row>
    <row r="64" spans="1:15" ht="12.95" customHeight="1"/>
    <row r="65" spans="15:15" ht="12.95" customHeight="1"/>
    <row r="66" spans="15:15">
      <c r="O66" s="1" t="s">
        <v>197</v>
      </c>
    </row>
  </sheetData>
  <mergeCells count="15">
    <mergeCell ref="G27:J27"/>
    <mergeCell ref="E1:F1"/>
    <mergeCell ref="E3:K3"/>
    <mergeCell ref="E4:K4"/>
    <mergeCell ref="G21:J21"/>
    <mergeCell ref="G22:J22"/>
    <mergeCell ref="B51:C51"/>
    <mergeCell ref="D51:E51"/>
    <mergeCell ref="H31:J31"/>
    <mergeCell ref="B48:C48"/>
    <mergeCell ref="D48:E48"/>
    <mergeCell ref="B49:C49"/>
    <mergeCell ref="D49:E49"/>
    <mergeCell ref="B50:C50"/>
    <mergeCell ref="D50:E50"/>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4"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2030" t="s">
        <v>713</v>
      </c>
      <c r="K1" s="2030"/>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81" t="s">
        <v>763</v>
      </c>
      <c r="D4" s="2082"/>
      <c r="E4" s="2082"/>
      <c r="F4" s="2082"/>
      <c r="G4" s="2082"/>
      <c r="H4" s="2082"/>
      <c r="I4" s="2082"/>
      <c r="J4" s="2082"/>
      <c r="K4" s="2082"/>
      <c r="L4" s="2082"/>
      <c r="M4" s="2082"/>
      <c r="N4" s="211"/>
    </row>
    <row r="5" spans="1:22" ht="15.05">
      <c r="A5" s="211"/>
      <c r="B5" s="209"/>
      <c r="C5" s="599"/>
      <c r="D5" s="1973"/>
      <c r="E5" s="1973"/>
      <c r="F5" s="1973"/>
      <c r="G5" s="1973"/>
      <c r="H5" s="1973"/>
      <c r="I5" s="1973"/>
      <c r="J5" s="1973"/>
      <c r="K5" s="607" t="e">
        <f>'Egan Asset Summary'!#REF!</f>
        <v>#REF!</v>
      </c>
      <c r="L5" s="607">
        <f>'Egan Asset Summary'!L4</f>
        <v>0</v>
      </c>
      <c r="M5" s="608">
        <f>'Egan Asset Summary'!O4</f>
        <v>0</v>
      </c>
      <c r="N5" s="211"/>
    </row>
    <row r="6" spans="1:22" ht="15.05">
      <c r="A6" s="211"/>
      <c r="B6" s="209"/>
      <c r="C6" s="599"/>
      <c r="D6" s="1974"/>
      <c r="E6" s="1974"/>
      <c r="F6" s="1974"/>
      <c r="G6" s="1974"/>
      <c r="H6" s="1974"/>
      <c r="I6" s="1974"/>
      <c r="J6" s="1974"/>
      <c r="K6" s="1974"/>
      <c r="L6" s="607">
        <f>'Egan Asset Summary'!M5</f>
        <v>0</v>
      </c>
      <c r="M6" s="608">
        <f>'Egan Asset Summary'!O5</f>
        <v>0</v>
      </c>
      <c r="N6" s="211"/>
    </row>
    <row r="7" spans="1:22">
      <c r="A7" s="600"/>
      <c r="B7" s="209"/>
      <c r="C7" s="599"/>
      <c r="D7" s="1975"/>
      <c r="E7" s="1976"/>
      <c r="F7" s="1976"/>
      <c r="G7" s="1976"/>
      <c r="H7" s="1976"/>
      <c r="I7" s="1976"/>
      <c r="J7" s="1976"/>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725</v>
      </c>
      <c r="K10" s="293" t="s">
        <v>726</v>
      </c>
      <c r="L10" s="293" t="s">
        <v>727</v>
      </c>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6434.4</v>
      </c>
      <c r="L28" s="219">
        <v>7401.83</v>
      </c>
      <c r="M28" s="45">
        <f t="shared" si="0"/>
        <v>105883.54999999999</v>
      </c>
      <c r="N28" s="219">
        <v>0</v>
      </c>
    </row>
    <row r="29" spans="1:14">
      <c r="A29" s="119">
        <f t="shared" si="2"/>
        <v>2035</v>
      </c>
      <c r="B29" s="148">
        <f t="shared" si="2"/>
        <v>18</v>
      </c>
      <c r="C29" s="119">
        <f t="shared" si="2"/>
        <v>18</v>
      </c>
      <c r="D29" s="190">
        <v>31968</v>
      </c>
      <c r="E29" s="190">
        <v>15984</v>
      </c>
      <c r="F29" s="219">
        <v>0</v>
      </c>
      <c r="G29" s="219">
        <v>0</v>
      </c>
      <c r="H29" s="219">
        <v>33651.120000000003</v>
      </c>
      <c r="I29" s="219">
        <v>4853.95</v>
      </c>
      <c r="J29" s="219">
        <v>5590.25</v>
      </c>
      <c r="K29" s="219">
        <v>6434.4</v>
      </c>
      <c r="L29" s="219">
        <v>7401.83</v>
      </c>
      <c r="M29" s="45">
        <f t="shared" si="0"/>
        <v>105883.54999999999</v>
      </c>
      <c r="N29" s="219">
        <v>0</v>
      </c>
    </row>
    <row r="30" spans="1:14">
      <c r="A30" s="119">
        <f t="shared" si="2"/>
        <v>2036</v>
      </c>
      <c r="B30" s="119">
        <f t="shared" si="2"/>
        <v>19</v>
      </c>
      <c r="C30" s="119">
        <f t="shared" si="2"/>
        <v>19</v>
      </c>
      <c r="D30" s="190">
        <v>31968</v>
      </c>
      <c r="E30" s="190">
        <v>15984</v>
      </c>
      <c r="F30" s="219">
        <v>0</v>
      </c>
      <c r="G30" s="219">
        <v>0</v>
      </c>
      <c r="H30" s="219">
        <v>33651.120000000003</v>
      </c>
      <c r="I30" s="219">
        <v>4853.95</v>
      </c>
      <c r="J30" s="219">
        <v>5590.25</v>
      </c>
      <c r="K30" s="219">
        <v>6434.4</v>
      </c>
      <c r="L30" s="219">
        <v>7401.83</v>
      </c>
      <c r="M30" s="45">
        <f t="shared" si="0"/>
        <v>105883.54999999999</v>
      </c>
      <c r="N30" s="219">
        <v>0</v>
      </c>
    </row>
    <row r="31" spans="1:14">
      <c r="A31" s="119">
        <f t="shared" si="2"/>
        <v>2037</v>
      </c>
      <c r="B31" s="119">
        <f t="shared" si="2"/>
        <v>20</v>
      </c>
      <c r="C31" s="119">
        <f t="shared" si="2"/>
        <v>20</v>
      </c>
      <c r="D31" s="190">
        <v>31968</v>
      </c>
      <c r="E31" s="190">
        <v>15984</v>
      </c>
      <c r="F31" s="219">
        <v>0</v>
      </c>
      <c r="G31" s="219">
        <v>0</v>
      </c>
      <c r="H31" s="219">
        <v>33651.120000000003</v>
      </c>
      <c r="I31" s="219">
        <v>4853.95</v>
      </c>
      <c r="J31" s="219">
        <v>5590.25</v>
      </c>
      <c r="K31" s="219">
        <v>6434.4</v>
      </c>
      <c r="L31" s="219">
        <v>7401.83</v>
      </c>
      <c r="M31" s="356">
        <f t="shared" si="0"/>
        <v>105883.54999999999</v>
      </c>
      <c r="N31" s="219">
        <v>0</v>
      </c>
    </row>
    <row r="32" spans="1:14">
      <c r="A32" s="119">
        <f t="shared" si="2"/>
        <v>2038</v>
      </c>
      <c r="B32" s="119">
        <f t="shared" si="2"/>
        <v>21</v>
      </c>
      <c r="C32" s="341">
        <f t="shared" si="2"/>
        <v>21</v>
      </c>
      <c r="D32" s="190">
        <v>31968</v>
      </c>
      <c r="E32" s="339">
        <v>0</v>
      </c>
      <c r="F32" s="219">
        <v>0</v>
      </c>
      <c r="G32" s="219">
        <v>0</v>
      </c>
      <c r="H32" s="481">
        <v>33651.120000000003</v>
      </c>
      <c r="I32" s="481">
        <v>4853.95</v>
      </c>
      <c r="J32" s="481">
        <v>5590.25</v>
      </c>
      <c r="K32" s="481">
        <v>6434.4</v>
      </c>
      <c r="L32" s="481">
        <v>7401.83</v>
      </c>
      <c r="M32" s="340">
        <f t="shared" si="0"/>
        <v>89899.549999999988</v>
      </c>
      <c r="N32" s="219">
        <v>0</v>
      </c>
    </row>
    <row r="33" spans="1:22">
      <c r="A33" s="119">
        <f t="shared" si="2"/>
        <v>2039</v>
      </c>
      <c r="B33" s="119">
        <f t="shared" si="2"/>
        <v>22</v>
      </c>
      <c r="C33" s="119">
        <f t="shared" si="2"/>
        <v>22</v>
      </c>
      <c r="D33" s="190">
        <v>31968</v>
      </c>
      <c r="E33" s="190">
        <f t="shared" ref="E33:E38" si="3">E32*1.02</f>
        <v>0</v>
      </c>
      <c r="F33" s="219">
        <v>0</v>
      </c>
      <c r="G33" s="219">
        <v>0</v>
      </c>
      <c r="H33" s="219">
        <v>33651.120000000003</v>
      </c>
      <c r="I33" s="219">
        <v>4853.95</v>
      </c>
      <c r="J33" s="219">
        <v>5590.25</v>
      </c>
      <c r="K33" s="219">
        <v>6434.4</v>
      </c>
      <c r="L33" s="219">
        <v>7401.83</v>
      </c>
      <c r="M33" s="45">
        <f t="shared" si="0"/>
        <v>89899.549999999988</v>
      </c>
      <c r="N33" s="219">
        <v>0</v>
      </c>
    </row>
    <row r="34" spans="1:22">
      <c r="A34" s="119">
        <f t="shared" si="2"/>
        <v>2040</v>
      </c>
      <c r="B34" s="119">
        <f t="shared" si="2"/>
        <v>23</v>
      </c>
      <c r="C34" s="119">
        <f t="shared" si="2"/>
        <v>23</v>
      </c>
      <c r="D34" s="190">
        <v>31968</v>
      </c>
      <c r="E34" s="190">
        <f t="shared" si="3"/>
        <v>0</v>
      </c>
      <c r="F34" s="219">
        <v>0</v>
      </c>
      <c r="G34" s="219">
        <v>0</v>
      </c>
      <c r="H34" s="219">
        <v>33651.120000000003</v>
      </c>
      <c r="I34" s="219">
        <v>4853.95</v>
      </c>
      <c r="J34" s="219">
        <v>5590.25</v>
      </c>
      <c r="K34" s="219">
        <v>6434.4</v>
      </c>
      <c r="L34" s="219">
        <v>7401.83</v>
      </c>
      <c r="M34" s="45">
        <f t="shared" si="0"/>
        <v>89899.549999999988</v>
      </c>
      <c r="N34" s="219">
        <v>0</v>
      </c>
    </row>
    <row r="35" spans="1:22">
      <c r="A35" s="119">
        <f t="shared" si="2"/>
        <v>2041</v>
      </c>
      <c r="B35" s="119">
        <f t="shared" si="2"/>
        <v>24</v>
      </c>
      <c r="C35" s="119">
        <f t="shared" si="2"/>
        <v>24</v>
      </c>
      <c r="D35" s="190">
        <v>31968</v>
      </c>
      <c r="E35" s="190">
        <f t="shared" si="3"/>
        <v>0</v>
      </c>
      <c r="F35" s="219">
        <v>0</v>
      </c>
      <c r="G35" s="219">
        <v>0</v>
      </c>
      <c r="H35" s="219">
        <v>33651.120000000003</v>
      </c>
      <c r="I35" s="219">
        <v>4853.95</v>
      </c>
      <c r="J35" s="219">
        <v>5590.25</v>
      </c>
      <c r="K35" s="219">
        <v>6434.4</v>
      </c>
      <c r="L35" s="219">
        <v>7401.83</v>
      </c>
      <c r="M35" s="45">
        <f t="shared" si="0"/>
        <v>89899.549999999988</v>
      </c>
      <c r="N35" s="219">
        <v>0</v>
      </c>
    </row>
    <row r="36" spans="1:22">
      <c r="A36" s="119">
        <f t="shared" si="2"/>
        <v>2042</v>
      </c>
      <c r="B36" s="119">
        <f t="shared" si="2"/>
        <v>25</v>
      </c>
      <c r="C36" s="119">
        <f t="shared" si="2"/>
        <v>25</v>
      </c>
      <c r="D36" s="190">
        <v>31968</v>
      </c>
      <c r="E36" s="190">
        <f t="shared" si="3"/>
        <v>0</v>
      </c>
      <c r="F36" s="219">
        <v>0</v>
      </c>
      <c r="G36" s="219">
        <v>0</v>
      </c>
      <c r="H36" s="219">
        <v>33651.120000000003</v>
      </c>
      <c r="I36" s="219">
        <v>4853.95</v>
      </c>
      <c r="J36" s="219">
        <v>5590.25</v>
      </c>
      <c r="K36" s="219">
        <v>6434.4</v>
      </c>
      <c r="L36" s="219">
        <v>7401.83</v>
      </c>
      <c r="M36" s="45">
        <f t="shared" si="0"/>
        <v>89899.549999999988</v>
      </c>
      <c r="N36" s="219">
        <v>0</v>
      </c>
    </row>
    <row r="37" spans="1:22">
      <c r="A37" s="119">
        <f t="shared" si="2"/>
        <v>2043</v>
      </c>
      <c r="B37" s="119">
        <f t="shared" si="2"/>
        <v>26</v>
      </c>
      <c r="C37" s="119">
        <f t="shared" si="2"/>
        <v>26</v>
      </c>
      <c r="D37" s="190">
        <v>31968</v>
      </c>
      <c r="E37" s="190">
        <f t="shared" si="3"/>
        <v>0</v>
      </c>
      <c r="F37" s="219">
        <v>0</v>
      </c>
      <c r="G37" s="219">
        <v>0</v>
      </c>
      <c r="H37" s="219">
        <v>33651.120000000003</v>
      </c>
      <c r="I37" s="219">
        <v>4853.95</v>
      </c>
      <c r="J37" s="219">
        <v>5590.25</v>
      </c>
      <c r="K37" s="219">
        <v>6434.4</v>
      </c>
      <c r="L37" s="219">
        <v>7401.83</v>
      </c>
      <c r="M37" s="45">
        <f t="shared" si="0"/>
        <v>89899.549999999988</v>
      </c>
      <c r="N37" s="219">
        <v>0</v>
      </c>
    </row>
    <row r="38" spans="1:22">
      <c r="A38" s="137">
        <f t="shared" si="2"/>
        <v>2044</v>
      </c>
      <c r="B38" s="137">
        <f t="shared" si="2"/>
        <v>27</v>
      </c>
      <c r="C38" s="137">
        <f t="shared" si="2"/>
        <v>27</v>
      </c>
      <c r="D38" s="190">
        <v>31968</v>
      </c>
      <c r="E38" s="190">
        <f t="shared" si="3"/>
        <v>0</v>
      </c>
      <c r="F38" s="219">
        <v>0</v>
      </c>
      <c r="G38" s="219">
        <v>0</v>
      </c>
      <c r="H38" s="219">
        <v>33651.120000000003</v>
      </c>
      <c r="I38" s="219">
        <v>4853.95</v>
      </c>
      <c r="J38" s="219">
        <v>5590.25</v>
      </c>
      <c r="K38" s="219">
        <v>6434.4</v>
      </c>
      <c r="L38" s="219">
        <v>7401.83</v>
      </c>
      <c r="M38" s="45">
        <f t="shared" si="0"/>
        <v>89899.549999999988</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7:J7"/>
    <mergeCell ref="A10:C10"/>
    <mergeCell ref="D1:I1"/>
    <mergeCell ref="J1:L1"/>
    <mergeCell ref="E2:I2"/>
    <mergeCell ref="C3:L3"/>
    <mergeCell ref="C4:M4"/>
    <mergeCell ref="D5:J5"/>
    <mergeCell ref="D6:K6"/>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N302"/>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72</v>
      </c>
      <c r="B1" s="452" t="s">
        <v>73</v>
      </c>
      <c r="C1" s="133" t="s">
        <v>74</v>
      </c>
      <c r="D1" s="2013" t="s">
        <v>764</v>
      </c>
      <c r="E1" s="2014"/>
      <c r="F1" s="2014"/>
      <c r="G1" s="2014"/>
      <c r="H1" s="2014"/>
      <c r="I1" s="2014"/>
      <c r="J1" s="2014"/>
      <c r="K1" s="2014"/>
      <c r="L1" s="2014"/>
      <c r="M1" s="2014"/>
      <c r="N1" s="2014"/>
    </row>
    <row r="2" spans="1:14" ht="18.350000000000001">
      <c r="A2" s="296">
        <f>'Egan Asset Summary'!O18</f>
        <v>321628.61</v>
      </c>
      <c r="B2" s="453" t="e">
        <f>#REF!</f>
        <v>#REF!</v>
      </c>
      <c r="C2" s="297" t="e">
        <f>#REF!</f>
        <v>#REF!</v>
      </c>
      <c r="D2" s="2015"/>
      <c r="E2" s="2015"/>
      <c r="F2" s="2015"/>
      <c r="G2" s="2015"/>
      <c r="H2" s="2015"/>
      <c r="I2" s="2015"/>
      <c r="J2" s="2015"/>
      <c r="K2" s="2015"/>
      <c r="L2" s="2015"/>
      <c r="M2" s="2015"/>
      <c r="N2" s="462"/>
    </row>
    <row r="3" spans="1:14" ht="26.2">
      <c r="A3" s="34"/>
      <c r="B3" s="454"/>
      <c r="C3" s="35"/>
      <c r="D3" s="2016" t="s">
        <v>697</v>
      </c>
      <c r="E3" s="2017"/>
      <c r="F3" s="2017"/>
      <c r="G3" s="2017"/>
      <c r="H3" s="2017"/>
      <c r="I3" s="2017"/>
      <c r="J3" s="647">
        <f>'Egan Asset Summary'!O3</f>
        <v>0</v>
      </c>
      <c r="K3" s="462"/>
      <c r="L3" s="658" t="s">
        <v>765</v>
      </c>
      <c r="M3" s="658" t="s">
        <v>766</v>
      </c>
      <c r="N3" s="658" t="s">
        <v>767</v>
      </c>
    </row>
    <row r="4" spans="1:14" ht="14.4">
      <c r="A4" s="34"/>
      <c r="B4" s="118"/>
      <c r="C4" s="35"/>
      <c r="D4" s="75"/>
      <c r="E4" s="75"/>
      <c r="F4" s="75"/>
      <c r="G4" s="75"/>
      <c r="I4" s="1589"/>
      <c r="J4" s="1590"/>
      <c r="K4" s="1590"/>
      <c r="L4" s="1590"/>
      <c r="M4" s="1590"/>
    </row>
    <row r="5" spans="1:14" ht="20.3">
      <c r="A5" s="34"/>
      <c r="B5" s="118"/>
      <c r="C5" s="35"/>
      <c r="D5" s="75"/>
      <c r="E5" s="75"/>
      <c r="F5" s="75"/>
      <c r="G5" s="75"/>
      <c r="I5" s="1576" t="s">
        <v>698</v>
      </c>
      <c r="J5" s="1576"/>
      <c r="K5" s="1576"/>
      <c r="L5" s="1576"/>
      <c r="M5" s="1576"/>
    </row>
    <row r="6" spans="1:14" ht="30.8">
      <c r="I6" s="2018" t="s">
        <v>699</v>
      </c>
      <c r="J6" s="2019"/>
      <c r="K6" s="2019"/>
      <c r="L6" s="2019"/>
      <c r="M6" s="2019"/>
    </row>
    <row r="7" spans="1:14" ht="20.3">
      <c r="I7" s="2020" t="s">
        <v>768</v>
      </c>
      <c r="J7" s="2020"/>
      <c r="K7" s="2020"/>
      <c r="L7" s="2020"/>
      <c r="M7" s="652"/>
    </row>
    <row r="8" spans="1:14" ht="20.3">
      <c r="I8" s="636"/>
      <c r="J8" s="641" t="s">
        <v>701</v>
      </c>
      <c r="K8" s="642" t="s">
        <v>702</v>
      </c>
      <c r="L8" s="643" t="s">
        <v>703</v>
      </c>
      <c r="M8" s="641" t="s">
        <v>704</v>
      </c>
    </row>
    <row r="9" spans="1:14" ht="18.350000000000001">
      <c r="I9" s="320" t="s">
        <v>83</v>
      </c>
      <c r="J9" s="644">
        <f>J3</f>
        <v>0</v>
      </c>
      <c r="K9" s="644">
        <f>J3</f>
        <v>0</v>
      </c>
      <c r="L9" s="644">
        <f>J3</f>
        <v>0</v>
      </c>
      <c r="M9" s="640" t="s">
        <v>705</v>
      </c>
    </row>
    <row r="10" spans="1:14" ht="17.7">
      <c r="I10" s="238" t="s">
        <v>84</v>
      </c>
      <c r="J10" s="649">
        <f>'Retirement Gold joint $400 Plan'!M13</f>
        <v>55821.07</v>
      </c>
      <c r="K10" s="379">
        <f>'Retirement Gold Her Surv'!M29</f>
        <v>89899.549999999988</v>
      </c>
      <c r="L10" s="241">
        <f>'Retirement Gold His Survival'!M32</f>
        <v>89899.549999999988</v>
      </c>
      <c r="M10" s="651">
        <v>7280.93</v>
      </c>
    </row>
    <row r="11" spans="1:14" ht="18.350000000000001">
      <c r="I11" s="634" t="s">
        <v>96</v>
      </c>
      <c r="J11" s="655">
        <f>J9-J10</f>
        <v>-55821.07</v>
      </c>
      <c r="K11" s="646">
        <f>K9-K10</f>
        <v>-89899.549999999988</v>
      </c>
      <c r="L11" s="646">
        <f>L9-L10</f>
        <v>-89899.549999999988</v>
      </c>
      <c r="M11" s="286"/>
    </row>
    <row r="12" spans="1:14" ht="15.75">
      <c r="I12" s="2021"/>
      <c r="J12" s="2021"/>
      <c r="K12" s="2021"/>
      <c r="L12" s="2021"/>
      <c r="M12" s="2021"/>
    </row>
    <row r="13" spans="1:14" ht="20.3">
      <c r="I13" s="2020" t="s">
        <v>769</v>
      </c>
      <c r="J13" s="2020"/>
      <c r="K13" s="2020"/>
      <c r="L13" s="2020"/>
      <c r="M13" s="652"/>
    </row>
    <row r="14" spans="1:14" ht="20.3">
      <c r="I14" s="633"/>
      <c r="J14" s="641" t="s">
        <v>701</v>
      </c>
      <c r="K14" s="642" t="s">
        <v>702</v>
      </c>
      <c r="L14" s="643" t="s">
        <v>703</v>
      </c>
      <c r="M14" s="641" t="s">
        <v>704</v>
      </c>
    </row>
    <row r="15" spans="1:14" ht="18.350000000000001">
      <c r="I15" s="320" t="s">
        <v>83</v>
      </c>
      <c r="J15" s="644">
        <f>J9</f>
        <v>0</v>
      </c>
      <c r="K15" s="644">
        <f>J9</f>
        <v>0</v>
      </c>
      <c r="L15" s="644">
        <f>J9</f>
        <v>0</v>
      </c>
      <c r="M15" s="640" t="s">
        <v>705</v>
      </c>
    </row>
    <row r="16" spans="1:14" ht="17.7">
      <c r="I16" s="238" t="s">
        <v>84</v>
      </c>
      <c r="J16" s="650">
        <f>'Retirement Gold joint $400 Plan'!M15</f>
        <v>92047.319999999992</v>
      </c>
      <c r="K16" s="379">
        <f>'Retirement Gold Her Surv'!M29</f>
        <v>89899.549999999988</v>
      </c>
      <c r="L16" s="241">
        <f>'Retirement Gold His Survival'!M32</f>
        <v>89899.549999999988</v>
      </c>
      <c r="M16" s="651">
        <v>8385.3700000000008</v>
      </c>
    </row>
    <row r="17" spans="9:14" ht="18.350000000000001">
      <c r="I17" s="634" t="s">
        <v>96</v>
      </c>
      <c r="J17" s="645">
        <f>J15-J16</f>
        <v>-92047.319999999992</v>
      </c>
      <c r="K17" s="646">
        <f>K15-K16</f>
        <v>-89899.549999999988</v>
      </c>
      <c r="L17" s="646">
        <f>L15-L16</f>
        <v>-89899.549999999988</v>
      </c>
      <c r="M17" s="288"/>
    </row>
    <row r="18" spans="9:14" ht="14.4">
      <c r="I18" s="2022"/>
      <c r="J18" s="2022"/>
      <c r="K18" s="2022"/>
      <c r="L18" s="2022"/>
      <c r="M18" s="2022"/>
    </row>
    <row r="19" spans="9:14" ht="20.3">
      <c r="I19" s="2020" t="s">
        <v>770</v>
      </c>
      <c r="J19" s="2020"/>
      <c r="K19" s="2020"/>
      <c r="L19" s="2020"/>
      <c r="M19" s="652"/>
    </row>
    <row r="20" spans="9:14" ht="20.3">
      <c r="I20" s="633"/>
      <c r="J20" s="641" t="s">
        <v>701</v>
      </c>
      <c r="K20" s="642" t="s">
        <v>702</v>
      </c>
      <c r="L20" s="643" t="s">
        <v>703</v>
      </c>
      <c r="M20" s="641" t="s">
        <v>704</v>
      </c>
    </row>
    <row r="21" spans="9:14" ht="18" customHeight="1">
      <c r="I21" s="320" t="s">
        <v>83</v>
      </c>
      <c r="J21" s="644">
        <f>J15</f>
        <v>0</v>
      </c>
      <c r="K21" s="644">
        <f>J15</f>
        <v>0</v>
      </c>
      <c r="L21" s="644">
        <f>J15</f>
        <v>0</v>
      </c>
      <c r="M21" s="640" t="s">
        <v>705</v>
      </c>
    </row>
    <row r="22" spans="9:14" ht="17.7">
      <c r="I22" s="238" t="s">
        <v>84</v>
      </c>
      <c r="J22" s="650">
        <f>'Retirement Gold joint $400 Plan'!M17</f>
        <v>98481.719999999987</v>
      </c>
      <c r="K22" s="379">
        <f>'Retirement Gold Her Surv'!M29</f>
        <v>89899.549999999988</v>
      </c>
      <c r="L22" s="241">
        <f>'Retirement Gold His Survival'!M32</f>
        <v>89899.549999999988</v>
      </c>
      <c r="M22" s="651">
        <v>9561.6</v>
      </c>
    </row>
    <row r="23" spans="9:14" ht="18.350000000000001">
      <c r="I23" s="634" t="s">
        <v>96</v>
      </c>
      <c r="J23" s="645">
        <f>J21-J22</f>
        <v>-98481.719999999987</v>
      </c>
      <c r="K23" s="646">
        <f>K21-K22</f>
        <v>-89899.549999999988</v>
      </c>
      <c r="L23" s="646">
        <f>L21-L22</f>
        <v>-89899.549999999988</v>
      </c>
      <c r="M23" s="262"/>
    </row>
    <row r="24" spans="9:14" ht="15.05">
      <c r="I24" s="2012"/>
      <c r="J24" s="2012"/>
      <c r="K24" s="2012"/>
      <c r="L24" s="2012"/>
      <c r="M24" s="2012"/>
    </row>
    <row r="25" spans="9:14" ht="18.649999999999999" customHeight="1">
      <c r="I25" s="2020" t="s">
        <v>771</v>
      </c>
      <c r="J25" s="2020"/>
      <c r="K25" s="2020"/>
      <c r="L25" s="2020"/>
      <c r="M25" s="652"/>
    </row>
    <row r="26" spans="9:14" ht="15.05" customHeight="1">
      <c r="I26" s="633"/>
      <c r="J26" s="641" t="s">
        <v>701</v>
      </c>
      <c r="K26" s="642" t="s">
        <v>702</v>
      </c>
      <c r="L26" s="643" t="s">
        <v>703</v>
      </c>
      <c r="M26" s="641" t="s">
        <v>704</v>
      </c>
      <c r="N26" s="89"/>
    </row>
    <row r="27" spans="9:14" ht="13.6" customHeight="1">
      <c r="I27" s="320" t="s">
        <v>83</v>
      </c>
      <c r="J27" s="644">
        <f>J3</f>
        <v>0</v>
      </c>
      <c r="K27" s="644">
        <f>J3</f>
        <v>0</v>
      </c>
      <c r="L27" s="644">
        <f>J3</f>
        <v>0</v>
      </c>
      <c r="M27" s="640" t="s">
        <v>705</v>
      </c>
    </row>
    <row r="28" spans="9:14" ht="17.7">
      <c r="I28" s="238" t="s">
        <v>84</v>
      </c>
      <c r="J28" s="650">
        <f>'Retirement Gold joint $400 Plan'!M19</f>
        <v>105883.54999999999</v>
      </c>
      <c r="K28" s="379">
        <f>'Retirement Gold Her Surv'!M29</f>
        <v>89899.549999999988</v>
      </c>
      <c r="L28" s="241">
        <f>'Retirement Gold His Survival'!M32</f>
        <v>89899.549999999988</v>
      </c>
      <c r="M28" s="651">
        <v>11102.75</v>
      </c>
    </row>
    <row r="29" spans="9:14" ht="18.350000000000001">
      <c r="I29" s="634" t="s">
        <v>96</v>
      </c>
      <c r="J29" s="645">
        <f>J27-J28</f>
        <v>-105883.54999999999</v>
      </c>
      <c r="K29" s="646">
        <f>K27-K28</f>
        <v>-89899.549999999988</v>
      </c>
      <c r="L29" s="646">
        <f>L27-L28</f>
        <v>-89899.549999999988</v>
      </c>
      <c r="M29" s="262"/>
    </row>
    <row r="30" spans="9:14" ht="18" customHeight="1">
      <c r="I30" s="1724"/>
      <c r="J30" s="1724"/>
      <c r="K30" s="1724"/>
      <c r="L30" s="1724"/>
      <c r="M30" s="1724"/>
    </row>
    <row r="31" spans="9:14" ht="18" customHeight="1">
      <c r="I31" s="2024"/>
      <c r="J31" s="2024"/>
      <c r="K31" s="2024"/>
      <c r="L31" s="2024"/>
      <c r="M31" s="2024"/>
    </row>
    <row r="32" spans="9:14" ht="17.7">
      <c r="I32" s="1729" t="s">
        <v>709</v>
      </c>
      <c r="J32" s="1729"/>
      <c r="K32" s="1729"/>
      <c r="L32" s="1729"/>
      <c r="M32" s="1729"/>
    </row>
    <row r="33" spans="9:13" ht="18.649999999999999" customHeight="1">
      <c r="I33" s="2025"/>
      <c r="J33" s="2025"/>
      <c r="K33" s="2025"/>
      <c r="L33" s="2025"/>
      <c r="M33" s="2025"/>
    </row>
    <row r="34" spans="9:13" ht="18.649999999999999" customHeight="1">
      <c r="I34" s="2023" t="s">
        <v>710</v>
      </c>
      <c r="J34" s="2023"/>
      <c r="K34" s="2023"/>
      <c r="L34" s="2023"/>
      <c r="M34" s="2023"/>
    </row>
    <row r="35" spans="9:13" ht="17.7">
      <c r="I35" s="2023" t="s">
        <v>711</v>
      </c>
      <c r="J35" s="2023"/>
      <c r="K35" s="2023"/>
      <c r="L35" s="2023"/>
      <c r="M35" s="2023"/>
    </row>
    <row r="36" spans="9:13" ht="17.7">
      <c r="I36" s="2023" t="s">
        <v>712</v>
      </c>
      <c r="J36" s="2023"/>
      <c r="K36" s="2023"/>
      <c r="L36" s="2023"/>
      <c r="M36" s="2023"/>
    </row>
    <row r="37" spans="9:13" ht="15.05">
      <c r="I37" s="1575"/>
      <c r="J37" s="1575"/>
      <c r="K37" s="1575"/>
      <c r="L37" s="1575"/>
      <c r="M37" s="1575"/>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c r="M50"/>
    </row>
    <row r="51" spans="1:13">
      <c r="M51"/>
    </row>
    <row r="52" spans="1:13">
      <c r="M52"/>
    </row>
    <row r="53" spans="1:13">
      <c r="M53"/>
    </row>
    <row r="54" spans="1:13">
      <c r="M54"/>
    </row>
    <row r="55" spans="1:13" ht="15.05">
      <c r="A55" s="281"/>
      <c r="B55" s="281"/>
      <c r="C55" s="281"/>
      <c r="D55" s="281"/>
      <c r="E55" s="281"/>
      <c r="M55"/>
    </row>
    <row r="56" spans="1:13" ht="15.05">
      <c r="A56" s="282"/>
      <c r="B56" s="282"/>
      <c r="C56" s="282"/>
      <c r="D56" s="282"/>
      <c r="E56" s="282"/>
      <c r="M56"/>
    </row>
    <row r="57" spans="1:13" ht="15.05">
      <c r="A57" s="282"/>
      <c r="B57" s="282"/>
      <c r="C57" s="282"/>
      <c r="D57" s="282"/>
      <c r="E57" s="282"/>
      <c r="M57"/>
    </row>
    <row r="58" spans="1:13" ht="15.05">
      <c r="A58" s="282"/>
      <c r="B58" s="282"/>
      <c r="C58" s="282"/>
      <c r="D58" s="282"/>
      <c r="E58" s="282"/>
      <c r="M58"/>
    </row>
    <row r="59" spans="1:13">
      <c r="M59"/>
    </row>
    <row r="60" spans="1:13">
      <c r="M60"/>
    </row>
    <row r="61" spans="1:13">
      <c r="M61"/>
    </row>
    <row r="62" spans="1:13">
      <c r="M62"/>
    </row>
    <row r="63" spans="1:13">
      <c r="M63"/>
    </row>
    <row r="64" spans="1:13">
      <c r="M64"/>
    </row>
    <row r="65" spans="1:13">
      <c r="M65"/>
    </row>
    <row r="66" spans="1:13">
      <c r="M66"/>
    </row>
    <row r="67" spans="1:13">
      <c r="M67"/>
    </row>
    <row r="68" spans="1:13">
      <c r="M68"/>
    </row>
    <row r="69" spans="1:13">
      <c r="M69"/>
    </row>
    <row r="70" spans="1:13">
      <c r="M70"/>
    </row>
    <row r="71" spans="1:13">
      <c r="M71"/>
    </row>
    <row r="72" spans="1:13">
      <c r="A72" s="89" t="s">
        <v>99</v>
      </c>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row r="299" spans="13:13">
      <c r="M299"/>
    </row>
    <row r="300" spans="13:13">
      <c r="M300"/>
    </row>
    <row r="301" spans="13:13">
      <c r="M301"/>
    </row>
    <row r="302" spans="13:13">
      <c r="M302"/>
    </row>
  </sheetData>
  <mergeCells count="21">
    <mergeCell ref="I36:M36"/>
    <mergeCell ref="I31:M31"/>
    <mergeCell ref="I30:M30"/>
    <mergeCell ref="I35:M35"/>
    <mergeCell ref="I37:M37"/>
    <mergeCell ref="I34:M34"/>
    <mergeCell ref="I25:L25"/>
    <mergeCell ref="I19:L19"/>
    <mergeCell ref="I32:M32"/>
    <mergeCell ref="I24:M24"/>
    <mergeCell ref="I33:M33"/>
    <mergeCell ref="D1:N1"/>
    <mergeCell ref="I6:M6"/>
    <mergeCell ref="I12:M12"/>
    <mergeCell ref="I18:M18"/>
    <mergeCell ref="I13:L13"/>
    <mergeCell ref="I7:L7"/>
    <mergeCell ref="D2:M2"/>
    <mergeCell ref="D3:I3"/>
    <mergeCell ref="I4:M4"/>
    <mergeCell ref="I5:M5"/>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32"/>
      <c r="D4" s="2033"/>
      <c r="E4" s="2033"/>
      <c r="F4" s="2033"/>
      <c r="G4" s="2033"/>
      <c r="H4" s="2033"/>
      <c r="I4" s="2033"/>
      <c r="J4" s="2033"/>
      <c r="K4" s="2033"/>
      <c r="L4" s="2033"/>
      <c r="M4" s="2033"/>
      <c r="N4" s="211"/>
    </row>
    <row r="5" spans="1:22" ht="15.05">
      <c r="A5" s="211"/>
      <c r="B5" s="209"/>
      <c r="C5" s="599"/>
      <c r="D5" s="2087" t="s">
        <v>772</v>
      </c>
      <c r="E5" s="2087"/>
      <c r="F5" s="2087"/>
      <c r="G5" s="2087"/>
      <c r="H5" s="2087"/>
      <c r="I5" s="2087"/>
      <c r="J5" s="2087"/>
      <c r="K5" s="2087"/>
      <c r="L5" s="607">
        <f>'Egan Asset Summary'!L4</f>
        <v>0</v>
      </c>
      <c r="M5" s="608">
        <f>'Egan Asset Summary'!O4</f>
        <v>0</v>
      </c>
      <c r="N5" s="211"/>
    </row>
    <row r="6" spans="1:22" ht="15.05">
      <c r="A6" s="211"/>
      <c r="B6" s="209"/>
      <c r="C6" s="599"/>
      <c r="D6" s="2083"/>
      <c r="E6" s="2083"/>
      <c r="F6" s="2083"/>
      <c r="G6" s="2083"/>
      <c r="H6" s="2083"/>
      <c r="I6" s="2083"/>
      <c r="J6" s="2083"/>
      <c r="K6" s="2083"/>
      <c r="L6" s="607">
        <f>'Egan Asset Summary'!M5</f>
        <v>0</v>
      </c>
      <c r="M6" s="608">
        <f>'Egan Asset Summary'!O5</f>
        <v>0</v>
      </c>
      <c r="N6" s="211"/>
    </row>
    <row r="7" spans="1:22">
      <c r="A7" s="600"/>
      <c r="B7" s="209"/>
      <c r="C7" s="599"/>
      <c r="D7" s="2084"/>
      <c r="E7" s="2085"/>
      <c r="F7" s="2085"/>
      <c r="G7" s="2085"/>
      <c r="H7" s="2085"/>
      <c r="I7" s="2085"/>
      <c r="J7" s="2086"/>
      <c r="K7" s="2085"/>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725</v>
      </c>
      <c r="K10" s="293" t="s">
        <v>727</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7401.83</v>
      </c>
      <c r="L28" s="219">
        <v>0</v>
      </c>
      <c r="M28" s="45">
        <f t="shared" si="0"/>
        <v>99449.15</v>
      </c>
      <c r="N28" s="219">
        <v>0</v>
      </c>
    </row>
    <row r="29" spans="1:14">
      <c r="A29" s="119">
        <f t="shared" si="2"/>
        <v>2035</v>
      </c>
      <c r="B29" s="148">
        <f t="shared" si="2"/>
        <v>18</v>
      </c>
      <c r="C29" s="119">
        <f t="shared" si="2"/>
        <v>18</v>
      </c>
      <c r="D29" s="190">
        <v>31968</v>
      </c>
      <c r="E29" s="190">
        <v>15984</v>
      </c>
      <c r="F29" s="219">
        <v>0</v>
      </c>
      <c r="G29" s="219">
        <v>0</v>
      </c>
      <c r="H29" s="219">
        <v>33651.120000000003</v>
      </c>
      <c r="I29" s="219">
        <v>4853.95</v>
      </c>
      <c r="J29" s="219">
        <v>5590.25</v>
      </c>
      <c r="K29" s="219">
        <v>7401.83</v>
      </c>
      <c r="L29" s="219">
        <v>0</v>
      </c>
      <c r="M29" s="45">
        <f t="shared" si="0"/>
        <v>99449.15</v>
      </c>
      <c r="N29" s="219">
        <v>0</v>
      </c>
    </row>
    <row r="30" spans="1:14">
      <c r="A30" s="119">
        <f t="shared" si="2"/>
        <v>2036</v>
      </c>
      <c r="B30" s="119">
        <f t="shared" si="2"/>
        <v>19</v>
      </c>
      <c r="C30" s="119">
        <f t="shared" si="2"/>
        <v>19</v>
      </c>
      <c r="D30" s="190">
        <v>31968</v>
      </c>
      <c r="E30" s="190">
        <v>15984</v>
      </c>
      <c r="F30" s="219">
        <v>0</v>
      </c>
      <c r="G30" s="219">
        <v>0</v>
      </c>
      <c r="H30" s="219">
        <v>33651.120000000003</v>
      </c>
      <c r="I30" s="219">
        <v>4853.95</v>
      </c>
      <c r="J30" s="219">
        <v>5590.25</v>
      </c>
      <c r="K30" s="219">
        <v>7401.83</v>
      </c>
      <c r="L30" s="219">
        <v>0</v>
      </c>
      <c r="M30" s="45">
        <f t="shared" si="0"/>
        <v>99449.15</v>
      </c>
      <c r="N30" s="219">
        <v>0</v>
      </c>
    </row>
    <row r="31" spans="1:14">
      <c r="A31" s="119">
        <f t="shared" si="2"/>
        <v>2037</v>
      </c>
      <c r="B31" s="119">
        <f t="shared" si="2"/>
        <v>20</v>
      </c>
      <c r="C31" s="119">
        <f t="shared" si="2"/>
        <v>20</v>
      </c>
      <c r="D31" s="190">
        <v>31968</v>
      </c>
      <c r="E31" s="190">
        <v>15984</v>
      </c>
      <c r="F31" s="219">
        <v>0</v>
      </c>
      <c r="G31" s="219">
        <v>0</v>
      </c>
      <c r="H31" s="219">
        <v>33651.120000000003</v>
      </c>
      <c r="I31" s="219">
        <v>4853.95</v>
      </c>
      <c r="J31" s="219">
        <v>5590.25</v>
      </c>
      <c r="K31" s="219">
        <v>7401.83</v>
      </c>
      <c r="L31" s="219">
        <v>0</v>
      </c>
      <c r="M31" s="45">
        <f t="shared" si="0"/>
        <v>99449.15</v>
      </c>
      <c r="N31" s="219">
        <v>0</v>
      </c>
    </row>
    <row r="32" spans="1:14">
      <c r="A32" s="119">
        <f t="shared" si="2"/>
        <v>2038</v>
      </c>
      <c r="B32" s="119">
        <f t="shared" si="2"/>
        <v>21</v>
      </c>
      <c r="C32" s="148">
        <f t="shared" si="2"/>
        <v>21</v>
      </c>
      <c r="D32" s="190">
        <v>31968</v>
      </c>
      <c r="E32" s="190">
        <v>15984</v>
      </c>
      <c r="F32" s="219">
        <v>0</v>
      </c>
      <c r="G32" s="219">
        <v>0</v>
      </c>
      <c r="H32" s="219">
        <v>33651.120000000003</v>
      </c>
      <c r="I32" s="219">
        <v>4853.95</v>
      </c>
      <c r="J32" s="219">
        <v>5590.25</v>
      </c>
      <c r="K32" s="219">
        <v>7401.83</v>
      </c>
      <c r="L32" s="219">
        <v>0</v>
      </c>
      <c r="M32" s="45">
        <f t="shared" si="0"/>
        <v>99449.15</v>
      </c>
      <c r="N32" s="219">
        <v>0</v>
      </c>
    </row>
    <row r="33" spans="1:22">
      <c r="A33" s="119">
        <f t="shared" si="2"/>
        <v>2039</v>
      </c>
      <c r="B33" s="119">
        <f t="shared" si="2"/>
        <v>22</v>
      </c>
      <c r="C33" s="119">
        <f t="shared" si="2"/>
        <v>22</v>
      </c>
      <c r="D33" s="190">
        <v>31968</v>
      </c>
      <c r="E33" s="190">
        <v>15984</v>
      </c>
      <c r="F33" s="219">
        <v>0</v>
      </c>
      <c r="G33" s="219">
        <v>0</v>
      </c>
      <c r="H33" s="219">
        <v>33651.120000000003</v>
      </c>
      <c r="I33" s="219">
        <v>4853.95</v>
      </c>
      <c r="J33" s="219">
        <v>5590.25</v>
      </c>
      <c r="K33" s="219">
        <v>7401.83</v>
      </c>
      <c r="L33" s="219">
        <v>0</v>
      </c>
      <c r="M33" s="45">
        <f t="shared" si="0"/>
        <v>99449.15</v>
      </c>
      <c r="N33" s="219">
        <v>0</v>
      </c>
    </row>
    <row r="34" spans="1:22">
      <c r="A34" s="119">
        <f t="shared" si="2"/>
        <v>2040</v>
      </c>
      <c r="B34" s="119">
        <f t="shared" si="2"/>
        <v>23</v>
      </c>
      <c r="C34" s="119">
        <f t="shared" si="2"/>
        <v>23</v>
      </c>
      <c r="D34" s="190">
        <v>31968</v>
      </c>
      <c r="E34" s="190">
        <v>15984</v>
      </c>
      <c r="F34" s="219">
        <v>0</v>
      </c>
      <c r="G34" s="219">
        <v>0</v>
      </c>
      <c r="H34" s="219">
        <v>33651.120000000003</v>
      </c>
      <c r="I34" s="219">
        <v>4853.95</v>
      </c>
      <c r="J34" s="219">
        <v>5590.25</v>
      </c>
      <c r="K34" s="219">
        <v>7401.83</v>
      </c>
      <c r="L34" s="219">
        <v>0</v>
      </c>
      <c r="M34" s="45">
        <f t="shared" si="0"/>
        <v>99449.15</v>
      </c>
      <c r="N34" s="219">
        <v>0</v>
      </c>
    </row>
    <row r="35" spans="1:22">
      <c r="A35" s="119">
        <f t="shared" si="2"/>
        <v>2041</v>
      </c>
      <c r="B35" s="119">
        <f t="shared" si="2"/>
        <v>24</v>
      </c>
      <c r="C35" s="119">
        <f t="shared" si="2"/>
        <v>24</v>
      </c>
      <c r="D35" s="190">
        <v>31968</v>
      </c>
      <c r="E35" s="190">
        <v>15984</v>
      </c>
      <c r="F35" s="219">
        <v>0</v>
      </c>
      <c r="G35" s="219">
        <v>0</v>
      </c>
      <c r="H35" s="219">
        <v>33651.120000000003</v>
      </c>
      <c r="I35" s="219">
        <v>4853.95</v>
      </c>
      <c r="J35" s="219">
        <v>5590.25</v>
      </c>
      <c r="K35" s="219">
        <v>7401.83</v>
      </c>
      <c r="L35" s="219">
        <v>0</v>
      </c>
      <c r="M35" s="45">
        <f t="shared" si="0"/>
        <v>99449.15</v>
      </c>
      <c r="N35" s="219">
        <v>0</v>
      </c>
    </row>
    <row r="36" spans="1:22">
      <c r="A36" s="119">
        <f t="shared" si="2"/>
        <v>2042</v>
      </c>
      <c r="B36" s="119">
        <f t="shared" si="2"/>
        <v>25</v>
      </c>
      <c r="C36" s="119">
        <f t="shared" si="2"/>
        <v>25</v>
      </c>
      <c r="D36" s="190">
        <v>31968</v>
      </c>
      <c r="E36" s="190">
        <v>15984</v>
      </c>
      <c r="F36" s="219">
        <v>0</v>
      </c>
      <c r="G36" s="219">
        <v>0</v>
      </c>
      <c r="H36" s="219">
        <v>33651.120000000003</v>
      </c>
      <c r="I36" s="219">
        <v>4853.95</v>
      </c>
      <c r="J36" s="219">
        <v>5590.25</v>
      </c>
      <c r="K36" s="219">
        <v>7401.83</v>
      </c>
      <c r="L36" s="219">
        <v>0</v>
      </c>
      <c r="M36" s="45">
        <f t="shared" si="0"/>
        <v>99449.15</v>
      </c>
      <c r="N36" s="219">
        <v>0</v>
      </c>
    </row>
    <row r="37" spans="1:22">
      <c r="A37" s="119">
        <f t="shared" si="2"/>
        <v>2043</v>
      </c>
      <c r="B37" s="119">
        <f t="shared" si="2"/>
        <v>26</v>
      </c>
      <c r="C37" s="119">
        <f t="shared" si="2"/>
        <v>26</v>
      </c>
      <c r="D37" s="190">
        <v>31968</v>
      </c>
      <c r="E37" s="190">
        <v>15984</v>
      </c>
      <c r="F37" s="219">
        <v>0</v>
      </c>
      <c r="G37" s="219">
        <v>0</v>
      </c>
      <c r="H37" s="219">
        <v>33651.120000000003</v>
      </c>
      <c r="I37" s="219">
        <v>4853.95</v>
      </c>
      <c r="J37" s="219">
        <v>5590.25</v>
      </c>
      <c r="K37" s="219">
        <v>7401.83</v>
      </c>
      <c r="L37" s="219">
        <v>0</v>
      </c>
      <c r="M37" s="45">
        <f t="shared" si="0"/>
        <v>99449.15</v>
      </c>
      <c r="N37" s="219">
        <v>0</v>
      </c>
    </row>
    <row r="38" spans="1:22">
      <c r="A38" s="137">
        <f t="shared" si="2"/>
        <v>2044</v>
      </c>
      <c r="B38" s="137">
        <f t="shared" si="2"/>
        <v>27</v>
      </c>
      <c r="C38" s="137">
        <f t="shared" si="2"/>
        <v>27</v>
      </c>
      <c r="D38" s="190">
        <v>31968</v>
      </c>
      <c r="E38" s="190">
        <f t="shared" ref="E38" si="3">E37*1.02</f>
        <v>16303.68</v>
      </c>
      <c r="F38" s="219">
        <v>0</v>
      </c>
      <c r="G38" s="219">
        <v>0</v>
      </c>
      <c r="H38" s="219">
        <v>33651.120000000003</v>
      </c>
      <c r="I38" s="219">
        <v>4853.95</v>
      </c>
      <c r="J38" s="219">
        <v>5590.25</v>
      </c>
      <c r="K38" s="219">
        <v>7401.83</v>
      </c>
      <c r="L38" s="219">
        <v>0</v>
      </c>
      <c r="M38" s="45">
        <f t="shared" si="0"/>
        <v>99768.83</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5"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79" t="s">
        <v>773</v>
      </c>
      <c r="D4" s="2080"/>
      <c r="E4" s="2080"/>
      <c r="F4" s="2080"/>
      <c r="G4" s="2080"/>
      <c r="H4" s="2080"/>
      <c r="I4" s="2080"/>
      <c r="J4" s="2080"/>
      <c r="K4" s="2080"/>
      <c r="L4" s="2080"/>
      <c r="M4" s="2080"/>
      <c r="N4" s="211"/>
    </row>
    <row r="5" spans="1:22" ht="15.05">
      <c r="A5" s="211"/>
      <c r="B5" s="209"/>
      <c r="C5" s="599"/>
      <c r="D5" s="2089"/>
      <c r="E5" s="2089"/>
      <c r="F5" s="2089"/>
      <c r="G5" s="2089"/>
      <c r="H5" s="2089"/>
      <c r="I5" s="2089"/>
      <c r="J5" s="2089"/>
      <c r="K5" s="2089"/>
      <c r="L5" s="607">
        <f>'Egan Asset Summary'!L4</f>
        <v>0</v>
      </c>
      <c r="M5" s="608">
        <f>'Egan Asset Summary'!O4</f>
        <v>0</v>
      </c>
      <c r="N5" s="211"/>
    </row>
    <row r="6" spans="1:22" ht="15.05">
      <c r="A6" s="211"/>
      <c r="B6" s="209"/>
      <c r="C6" s="599"/>
      <c r="D6" s="1974"/>
      <c r="E6" s="1974"/>
      <c r="F6" s="1974"/>
      <c r="G6" s="1974"/>
      <c r="H6" s="1974"/>
      <c r="I6" s="1974"/>
      <c r="J6" s="1974"/>
      <c r="K6" s="1974"/>
      <c r="L6" s="607">
        <f>'Egan Asset Summary'!M5</f>
        <v>0</v>
      </c>
      <c r="M6" s="608">
        <f>'Egan Asset Summary'!O5</f>
        <v>0</v>
      </c>
      <c r="N6" s="211"/>
    </row>
    <row r="7" spans="1:22">
      <c r="A7" s="600"/>
      <c r="B7" s="209"/>
      <c r="C7" s="599"/>
      <c r="D7" s="1975"/>
      <c r="E7" s="1976"/>
      <c r="F7" s="1976"/>
      <c r="G7" s="1976"/>
      <c r="H7" s="1976"/>
      <c r="I7" s="1976"/>
      <c r="J7" s="2088"/>
      <c r="K7" s="1976"/>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725</v>
      </c>
      <c r="K10" s="293" t="s">
        <v>727</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7401.83</v>
      </c>
      <c r="L28" s="219">
        <v>0</v>
      </c>
      <c r="M28" s="613">
        <f t="shared" si="0"/>
        <v>99449.15</v>
      </c>
      <c r="N28" s="219">
        <v>0</v>
      </c>
    </row>
    <row r="29" spans="1:14">
      <c r="A29" s="119">
        <f t="shared" si="2"/>
        <v>2035</v>
      </c>
      <c r="B29" s="150">
        <f t="shared" si="2"/>
        <v>18</v>
      </c>
      <c r="C29" s="119">
        <f t="shared" si="2"/>
        <v>18</v>
      </c>
      <c r="D29" s="190">
        <v>31968</v>
      </c>
      <c r="E29" s="339">
        <v>0</v>
      </c>
      <c r="F29" s="219">
        <v>0</v>
      </c>
      <c r="G29" s="219">
        <v>0</v>
      </c>
      <c r="H29" s="481">
        <v>33651.120000000003</v>
      </c>
      <c r="I29" s="481">
        <v>4853.95</v>
      </c>
      <c r="J29" s="481">
        <v>5590.25</v>
      </c>
      <c r="K29" s="481">
        <v>7401.83</v>
      </c>
      <c r="L29" s="219">
        <v>0</v>
      </c>
      <c r="M29" s="337">
        <f t="shared" si="0"/>
        <v>83465.149999999994</v>
      </c>
      <c r="N29" s="219">
        <v>0</v>
      </c>
    </row>
    <row r="30" spans="1:14">
      <c r="A30" s="119">
        <f t="shared" si="2"/>
        <v>2036</v>
      </c>
      <c r="B30" s="119">
        <f t="shared" si="2"/>
        <v>19</v>
      </c>
      <c r="C30" s="119">
        <f t="shared" si="2"/>
        <v>19</v>
      </c>
      <c r="D30" s="190">
        <v>31968</v>
      </c>
      <c r="E30" s="190">
        <v>0</v>
      </c>
      <c r="F30" s="219">
        <v>0</v>
      </c>
      <c r="G30" s="219">
        <v>0</v>
      </c>
      <c r="H30" s="219">
        <v>33651.120000000003</v>
      </c>
      <c r="I30" s="219">
        <v>4853.95</v>
      </c>
      <c r="J30" s="219">
        <v>5590.25</v>
      </c>
      <c r="K30" s="219">
        <v>7401.83</v>
      </c>
      <c r="L30" s="219">
        <v>0</v>
      </c>
      <c r="M30" s="45">
        <f t="shared" si="0"/>
        <v>83465.149999999994</v>
      </c>
      <c r="N30" s="219">
        <v>0</v>
      </c>
    </row>
    <row r="31" spans="1:14">
      <c r="A31" s="119">
        <f t="shared" si="2"/>
        <v>2037</v>
      </c>
      <c r="B31" s="119">
        <f t="shared" si="2"/>
        <v>20</v>
      </c>
      <c r="C31" s="119">
        <f t="shared" si="2"/>
        <v>20</v>
      </c>
      <c r="D31" s="190">
        <v>31968</v>
      </c>
      <c r="E31" s="190">
        <v>0</v>
      </c>
      <c r="F31" s="219">
        <v>0</v>
      </c>
      <c r="G31" s="219">
        <v>0</v>
      </c>
      <c r="H31" s="219">
        <v>33651.120000000003</v>
      </c>
      <c r="I31" s="219">
        <v>4853.95</v>
      </c>
      <c r="J31" s="219">
        <v>5590.25</v>
      </c>
      <c r="K31" s="219">
        <v>7401.83</v>
      </c>
      <c r="L31" s="219">
        <v>0</v>
      </c>
      <c r="M31" s="45">
        <f t="shared" si="0"/>
        <v>83465.149999999994</v>
      </c>
      <c r="N31" s="219">
        <v>0</v>
      </c>
    </row>
    <row r="32" spans="1:14">
      <c r="A32" s="119">
        <f t="shared" si="2"/>
        <v>2038</v>
      </c>
      <c r="B32" s="119">
        <f t="shared" si="2"/>
        <v>21</v>
      </c>
      <c r="C32" s="148">
        <f t="shared" si="2"/>
        <v>21</v>
      </c>
      <c r="D32" s="190">
        <v>31968</v>
      </c>
      <c r="E32" s="190">
        <v>0</v>
      </c>
      <c r="F32" s="219">
        <v>0</v>
      </c>
      <c r="G32" s="219">
        <v>0</v>
      </c>
      <c r="H32" s="219">
        <v>33651.120000000003</v>
      </c>
      <c r="I32" s="219">
        <v>4853.95</v>
      </c>
      <c r="J32" s="219">
        <v>5590.25</v>
      </c>
      <c r="K32" s="219">
        <v>7401.83</v>
      </c>
      <c r="L32" s="219">
        <v>0</v>
      </c>
      <c r="M32" s="45">
        <f t="shared" si="0"/>
        <v>83465.149999999994</v>
      </c>
      <c r="N32" s="219">
        <v>0</v>
      </c>
    </row>
    <row r="33" spans="1:22">
      <c r="A33" s="119">
        <f t="shared" si="2"/>
        <v>2039</v>
      </c>
      <c r="B33" s="119">
        <f t="shared" si="2"/>
        <v>22</v>
      </c>
      <c r="C33" s="119">
        <f t="shared" si="2"/>
        <v>22</v>
      </c>
      <c r="D33" s="190">
        <v>31968</v>
      </c>
      <c r="E33" s="190">
        <v>0</v>
      </c>
      <c r="F33" s="219">
        <v>0</v>
      </c>
      <c r="G33" s="219">
        <v>0</v>
      </c>
      <c r="H33" s="219">
        <v>33651.120000000003</v>
      </c>
      <c r="I33" s="219">
        <v>4853.95</v>
      </c>
      <c r="J33" s="219">
        <v>5590.25</v>
      </c>
      <c r="K33" s="219">
        <v>7401.83</v>
      </c>
      <c r="L33" s="219">
        <v>0</v>
      </c>
      <c r="M33" s="45">
        <f t="shared" si="0"/>
        <v>83465.149999999994</v>
      </c>
      <c r="N33" s="219">
        <v>0</v>
      </c>
    </row>
    <row r="34" spans="1:22">
      <c r="A34" s="119">
        <f t="shared" si="2"/>
        <v>2040</v>
      </c>
      <c r="B34" s="119">
        <f t="shared" si="2"/>
        <v>23</v>
      </c>
      <c r="C34" s="119">
        <f t="shared" si="2"/>
        <v>23</v>
      </c>
      <c r="D34" s="190">
        <v>31968</v>
      </c>
      <c r="E34" s="190">
        <v>0</v>
      </c>
      <c r="F34" s="219">
        <v>0</v>
      </c>
      <c r="G34" s="219">
        <v>0</v>
      </c>
      <c r="H34" s="219">
        <v>33651.120000000003</v>
      </c>
      <c r="I34" s="219">
        <v>4853.95</v>
      </c>
      <c r="J34" s="219">
        <v>5590.25</v>
      </c>
      <c r="K34" s="219">
        <v>7401.83</v>
      </c>
      <c r="L34" s="219">
        <v>0</v>
      </c>
      <c r="M34" s="45">
        <f t="shared" si="0"/>
        <v>83465.149999999994</v>
      </c>
      <c r="N34" s="219">
        <v>0</v>
      </c>
    </row>
    <row r="35" spans="1:22">
      <c r="A35" s="119">
        <f t="shared" si="2"/>
        <v>2041</v>
      </c>
      <c r="B35" s="119">
        <f t="shared" si="2"/>
        <v>24</v>
      </c>
      <c r="C35" s="119">
        <f t="shared" si="2"/>
        <v>24</v>
      </c>
      <c r="D35" s="190">
        <v>31968</v>
      </c>
      <c r="E35" s="190">
        <v>0</v>
      </c>
      <c r="F35" s="219">
        <v>0</v>
      </c>
      <c r="G35" s="219">
        <v>0</v>
      </c>
      <c r="H35" s="219">
        <v>33651.120000000003</v>
      </c>
      <c r="I35" s="219">
        <v>4853.95</v>
      </c>
      <c r="J35" s="219">
        <v>5590.25</v>
      </c>
      <c r="K35" s="219">
        <v>7401.83</v>
      </c>
      <c r="L35" s="219">
        <v>0</v>
      </c>
      <c r="M35" s="45">
        <f t="shared" si="0"/>
        <v>83465.149999999994</v>
      </c>
      <c r="N35" s="219">
        <v>0</v>
      </c>
    </row>
    <row r="36" spans="1:22">
      <c r="A36" s="119">
        <f t="shared" si="2"/>
        <v>2042</v>
      </c>
      <c r="B36" s="119">
        <f t="shared" si="2"/>
        <v>25</v>
      </c>
      <c r="C36" s="119">
        <f t="shared" si="2"/>
        <v>25</v>
      </c>
      <c r="D36" s="190">
        <v>31968</v>
      </c>
      <c r="E36" s="190">
        <v>0</v>
      </c>
      <c r="F36" s="219">
        <v>0</v>
      </c>
      <c r="G36" s="219">
        <v>0</v>
      </c>
      <c r="H36" s="219">
        <v>33651.120000000003</v>
      </c>
      <c r="I36" s="219">
        <v>4853.95</v>
      </c>
      <c r="J36" s="219">
        <v>5590.25</v>
      </c>
      <c r="K36" s="219">
        <v>7401.83</v>
      </c>
      <c r="L36" s="219">
        <v>0</v>
      </c>
      <c r="M36" s="45">
        <f t="shared" si="0"/>
        <v>83465.149999999994</v>
      </c>
      <c r="N36" s="219">
        <v>0</v>
      </c>
    </row>
    <row r="37" spans="1:22">
      <c r="A37" s="119">
        <f t="shared" si="2"/>
        <v>2043</v>
      </c>
      <c r="B37" s="119">
        <f t="shared" si="2"/>
        <v>26</v>
      </c>
      <c r="C37" s="119">
        <f t="shared" si="2"/>
        <v>26</v>
      </c>
      <c r="D37" s="190">
        <v>31968</v>
      </c>
      <c r="E37" s="190">
        <v>0</v>
      </c>
      <c r="F37" s="219">
        <v>0</v>
      </c>
      <c r="G37" s="219">
        <v>0</v>
      </c>
      <c r="H37" s="219">
        <v>33651.120000000003</v>
      </c>
      <c r="I37" s="219">
        <v>4853.95</v>
      </c>
      <c r="J37" s="219">
        <v>5590.25</v>
      </c>
      <c r="K37" s="219">
        <v>7401.83</v>
      </c>
      <c r="L37" s="219">
        <v>0</v>
      </c>
      <c r="M37" s="45">
        <f t="shared" si="0"/>
        <v>83465.149999999994</v>
      </c>
      <c r="N37" s="219">
        <v>0</v>
      </c>
    </row>
    <row r="38" spans="1:22">
      <c r="A38" s="137">
        <f t="shared" si="2"/>
        <v>2044</v>
      </c>
      <c r="B38" s="137">
        <f t="shared" si="2"/>
        <v>27</v>
      </c>
      <c r="C38" s="137">
        <f t="shared" si="2"/>
        <v>27</v>
      </c>
      <c r="D38" s="190">
        <v>31968</v>
      </c>
      <c r="E38" s="190">
        <v>0</v>
      </c>
      <c r="F38" s="219">
        <v>0</v>
      </c>
      <c r="G38" s="219">
        <v>0</v>
      </c>
      <c r="H38" s="219">
        <v>33651.120000000003</v>
      </c>
      <c r="I38" s="219">
        <v>4853.95</v>
      </c>
      <c r="J38" s="219">
        <v>5590.25</v>
      </c>
      <c r="K38" s="219">
        <v>7401.83</v>
      </c>
      <c r="L38" s="219">
        <v>0</v>
      </c>
      <c r="M38" s="45">
        <f t="shared" si="0"/>
        <v>83465.149999999994</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4"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630"/>
      <c r="D4" s="2081" t="s">
        <v>774</v>
      </c>
      <c r="E4" s="2082"/>
      <c r="F4" s="2082"/>
      <c r="G4" s="2082"/>
      <c r="H4" s="2082"/>
      <c r="I4" s="2082"/>
      <c r="J4" s="2082"/>
      <c r="K4" s="2082"/>
      <c r="L4" s="2082"/>
      <c r="M4" s="2082"/>
      <c r="N4" s="2082"/>
    </row>
    <row r="5" spans="1:22" ht="15.05">
      <c r="A5" s="211"/>
      <c r="B5" s="209"/>
      <c r="C5" s="599"/>
      <c r="D5" s="632"/>
      <c r="E5" s="632"/>
      <c r="F5" s="632"/>
      <c r="G5" s="632"/>
      <c r="H5" s="632"/>
      <c r="I5" s="632"/>
      <c r="J5" s="632"/>
      <c r="K5" s="632"/>
      <c r="L5" s="607">
        <f>'Egan Asset Summary'!L4</f>
        <v>0</v>
      </c>
      <c r="M5" s="608">
        <f>'Egan Asset Summary'!O4</f>
        <v>0</v>
      </c>
      <c r="N5" s="211"/>
    </row>
    <row r="6" spans="1:22" ht="15.05">
      <c r="A6" s="211"/>
      <c r="B6" s="209"/>
      <c r="C6" s="599"/>
      <c r="D6" s="638"/>
      <c r="F6" s="71"/>
      <c r="G6" s="71"/>
      <c r="H6" s="71"/>
      <c r="I6" s="71"/>
      <c r="J6" s="71"/>
      <c r="K6" s="71"/>
      <c r="L6" s="607">
        <f>'Egan Asset Summary'!M5</f>
        <v>0</v>
      </c>
      <c r="M6" s="608">
        <f>'Egan Asset Summary'!O5</f>
        <v>0</v>
      </c>
      <c r="N6" s="211"/>
    </row>
    <row r="7" spans="1:22">
      <c r="A7" s="600"/>
      <c r="B7" s="209"/>
      <c r="C7" s="599"/>
      <c r="D7" s="628"/>
      <c r="E7" s="629"/>
      <c r="F7" s="629"/>
      <c r="G7" s="629"/>
      <c r="H7" s="629"/>
      <c r="I7" s="629"/>
      <c r="J7" s="631"/>
      <c r="K7" s="629"/>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724</v>
      </c>
      <c r="J10" s="293" t="s">
        <v>775</v>
      </c>
      <c r="K10" s="293" t="s">
        <v>775</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f t="shared" si="1"/>
        <v>3</v>
      </c>
      <c r="C14" s="137">
        <f t="shared" si="1"/>
        <v>3</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f t="shared" si="1"/>
        <v>4</v>
      </c>
      <c r="C15" s="119">
        <f t="shared" si="1"/>
        <v>4</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f t="shared" si="1"/>
        <v>5</v>
      </c>
      <c r="C16" s="119">
        <f t="shared" si="1"/>
        <v>5</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f t="shared" si="1"/>
        <v>6</v>
      </c>
      <c r="C17" s="119">
        <f t="shared" si="1"/>
        <v>6</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f t="shared" si="1"/>
        <v>7</v>
      </c>
      <c r="C18" s="119">
        <f t="shared" si="1"/>
        <v>7</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f t="shared" si="1"/>
        <v>8</v>
      </c>
      <c r="C19" s="119">
        <f t="shared" si="1"/>
        <v>8</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f t="shared" si="1"/>
        <v>9</v>
      </c>
      <c r="C20" s="119">
        <f t="shared" si="1"/>
        <v>9</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f t="shared" si="1"/>
        <v>10</v>
      </c>
      <c r="C21" s="119">
        <f t="shared" si="1"/>
        <v>10</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f t="shared" si="1"/>
        <v>11</v>
      </c>
      <c r="C22" s="119">
        <f t="shared" si="1"/>
        <v>11</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f t="shared" si="1"/>
        <v>12</v>
      </c>
      <c r="C23" s="119">
        <f t="shared" si="1"/>
        <v>12</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f t="shared" si="1"/>
        <v>13</v>
      </c>
      <c r="C24" s="119">
        <f t="shared" si="1"/>
        <v>13</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f t="shared" si="1"/>
        <v>14</v>
      </c>
      <c r="C25" s="119">
        <f t="shared" si="1"/>
        <v>14</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f t="shared" si="1"/>
        <v>15</v>
      </c>
      <c r="C26" s="221">
        <f t="shared" si="1"/>
        <v>15</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f t="shared" si="1"/>
        <v>16</v>
      </c>
      <c r="C27" s="119">
        <f t="shared" si="1"/>
        <v>16</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4853.95</v>
      </c>
      <c r="J28" s="219">
        <v>5590.25</v>
      </c>
      <c r="K28" s="219">
        <v>7401.83</v>
      </c>
      <c r="L28" s="219">
        <v>0</v>
      </c>
      <c r="M28" s="45">
        <f t="shared" si="0"/>
        <v>99449.15</v>
      </c>
      <c r="N28" s="219">
        <v>0</v>
      </c>
    </row>
    <row r="29" spans="1:14">
      <c r="A29" s="119">
        <f t="shared" si="2"/>
        <v>2035</v>
      </c>
      <c r="B29" s="148">
        <f t="shared" si="2"/>
        <v>18</v>
      </c>
      <c r="C29" s="119">
        <f t="shared" si="2"/>
        <v>18</v>
      </c>
      <c r="D29" s="190">
        <v>31968</v>
      </c>
      <c r="E29" s="190">
        <v>15984</v>
      </c>
      <c r="F29" s="219">
        <v>0</v>
      </c>
      <c r="G29" s="219">
        <v>0</v>
      </c>
      <c r="H29" s="219">
        <v>33651.120000000003</v>
      </c>
      <c r="I29" s="219">
        <v>4853.95</v>
      </c>
      <c r="J29" s="219">
        <v>5590.25</v>
      </c>
      <c r="K29" s="219">
        <v>7401.83</v>
      </c>
      <c r="L29" s="219">
        <v>0</v>
      </c>
      <c r="M29" s="45">
        <f t="shared" si="0"/>
        <v>99449.15</v>
      </c>
      <c r="N29" s="219">
        <v>0</v>
      </c>
    </row>
    <row r="30" spans="1:14">
      <c r="A30" s="119">
        <f t="shared" si="2"/>
        <v>2036</v>
      </c>
      <c r="B30" s="119">
        <f t="shared" si="2"/>
        <v>19</v>
      </c>
      <c r="C30" s="119">
        <f t="shared" si="2"/>
        <v>19</v>
      </c>
      <c r="D30" s="190">
        <v>31968</v>
      </c>
      <c r="E30" s="190">
        <v>15984</v>
      </c>
      <c r="F30" s="219">
        <v>0</v>
      </c>
      <c r="G30" s="219">
        <v>0</v>
      </c>
      <c r="H30" s="219">
        <v>33651.120000000003</v>
      </c>
      <c r="I30" s="219">
        <v>4853.95</v>
      </c>
      <c r="J30" s="219">
        <v>5590.25</v>
      </c>
      <c r="K30" s="219">
        <v>7401.83</v>
      </c>
      <c r="L30" s="219">
        <v>0</v>
      </c>
      <c r="M30" s="45">
        <f t="shared" si="0"/>
        <v>99449.15</v>
      </c>
      <c r="N30" s="219">
        <v>0</v>
      </c>
    </row>
    <row r="31" spans="1:14">
      <c r="A31" s="119">
        <f t="shared" si="2"/>
        <v>2037</v>
      </c>
      <c r="B31" s="119">
        <f t="shared" si="2"/>
        <v>20</v>
      </c>
      <c r="C31" s="119">
        <f t="shared" si="2"/>
        <v>20</v>
      </c>
      <c r="D31" s="190">
        <v>31968</v>
      </c>
      <c r="E31" s="190">
        <v>15984</v>
      </c>
      <c r="F31" s="219">
        <v>0</v>
      </c>
      <c r="G31" s="219">
        <v>0</v>
      </c>
      <c r="H31" s="219">
        <v>33651.120000000003</v>
      </c>
      <c r="I31" s="219">
        <v>4853.95</v>
      </c>
      <c r="J31" s="219">
        <v>5590.25</v>
      </c>
      <c r="K31" s="219">
        <v>7401.83</v>
      </c>
      <c r="L31" s="219">
        <v>0</v>
      </c>
      <c r="M31" s="613">
        <f t="shared" si="0"/>
        <v>99449.15</v>
      </c>
      <c r="N31" s="219">
        <v>0</v>
      </c>
    </row>
    <row r="32" spans="1:14">
      <c r="A32" s="119">
        <f t="shared" si="2"/>
        <v>2038</v>
      </c>
      <c r="B32" s="119">
        <f t="shared" si="2"/>
        <v>21</v>
      </c>
      <c r="C32" s="341">
        <f t="shared" si="2"/>
        <v>21</v>
      </c>
      <c r="D32" s="190">
        <v>31968</v>
      </c>
      <c r="E32" s="339">
        <v>0</v>
      </c>
      <c r="F32" s="219">
        <v>0</v>
      </c>
      <c r="G32" s="219">
        <v>0</v>
      </c>
      <c r="H32" s="481">
        <v>33651.120000000003</v>
      </c>
      <c r="I32" s="481">
        <v>4853.95</v>
      </c>
      <c r="J32" s="481">
        <v>5590.25</v>
      </c>
      <c r="K32" s="481">
        <v>7401.83</v>
      </c>
      <c r="L32" s="219">
        <v>0</v>
      </c>
      <c r="M32" s="340">
        <f t="shared" si="0"/>
        <v>83465.149999999994</v>
      </c>
      <c r="N32" s="219">
        <v>0</v>
      </c>
    </row>
    <row r="33" spans="1:22">
      <c r="A33" s="119">
        <f t="shared" si="2"/>
        <v>2039</v>
      </c>
      <c r="B33" s="119">
        <f t="shared" si="2"/>
        <v>22</v>
      </c>
      <c r="C33" s="119">
        <f t="shared" si="2"/>
        <v>22</v>
      </c>
      <c r="D33" s="190">
        <v>31968</v>
      </c>
      <c r="E33" s="190">
        <v>0</v>
      </c>
      <c r="F33" s="219">
        <v>0</v>
      </c>
      <c r="G33" s="219">
        <v>0</v>
      </c>
      <c r="H33" s="219">
        <v>33651.120000000003</v>
      </c>
      <c r="I33" s="219">
        <v>4853.95</v>
      </c>
      <c r="J33" s="219">
        <v>5590.25</v>
      </c>
      <c r="K33" s="219">
        <v>7401.83</v>
      </c>
      <c r="L33" s="219">
        <v>0</v>
      </c>
      <c r="M33" s="45">
        <f t="shared" si="0"/>
        <v>83465.149999999994</v>
      </c>
      <c r="N33" s="219">
        <v>0</v>
      </c>
    </row>
    <row r="34" spans="1:22">
      <c r="A34" s="119">
        <f t="shared" si="2"/>
        <v>2040</v>
      </c>
      <c r="B34" s="119">
        <f t="shared" si="2"/>
        <v>23</v>
      </c>
      <c r="C34" s="119">
        <f t="shared" si="2"/>
        <v>23</v>
      </c>
      <c r="D34" s="190">
        <v>31968</v>
      </c>
      <c r="E34" s="190">
        <v>0</v>
      </c>
      <c r="F34" s="219">
        <v>0</v>
      </c>
      <c r="G34" s="219">
        <v>0</v>
      </c>
      <c r="H34" s="219">
        <v>33651.120000000003</v>
      </c>
      <c r="I34" s="219">
        <v>4853.95</v>
      </c>
      <c r="J34" s="219">
        <v>5590.25</v>
      </c>
      <c r="K34" s="219">
        <v>7401.83</v>
      </c>
      <c r="L34" s="219">
        <v>0</v>
      </c>
      <c r="M34" s="45">
        <f t="shared" si="0"/>
        <v>83465.149999999994</v>
      </c>
      <c r="N34" s="219">
        <v>0</v>
      </c>
    </row>
    <row r="35" spans="1:22">
      <c r="A35" s="119">
        <f t="shared" si="2"/>
        <v>2041</v>
      </c>
      <c r="B35" s="119">
        <f t="shared" si="2"/>
        <v>24</v>
      </c>
      <c r="C35" s="119">
        <f t="shared" si="2"/>
        <v>24</v>
      </c>
      <c r="D35" s="190">
        <v>31968</v>
      </c>
      <c r="E35" s="190">
        <v>0</v>
      </c>
      <c r="F35" s="219">
        <v>0</v>
      </c>
      <c r="G35" s="219">
        <v>0</v>
      </c>
      <c r="H35" s="219">
        <v>33651.120000000003</v>
      </c>
      <c r="I35" s="219">
        <v>4853.95</v>
      </c>
      <c r="J35" s="219">
        <v>5590.25</v>
      </c>
      <c r="K35" s="219">
        <v>7401.83</v>
      </c>
      <c r="L35" s="219">
        <v>0</v>
      </c>
      <c r="M35" s="45">
        <f t="shared" si="0"/>
        <v>83465.149999999994</v>
      </c>
      <c r="N35" s="219">
        <v>0</v>
      </c>
    </row>
    <row r="36" spans="1:22">
      <c r="A36" s="119">
        <f t="shared" si="2"/>
        <v>2042</v>
      </c>
      <c r="B36" s="119">
        <f t="shared" si="2"/>
        <v>25</v>
      </c>
      <c r="C36" s="119">
        <f t="shared" si="2"/>
        <v>25</v>
      </c>
      <c r="D36" s="190">
        <v>31968</v>
      </c>
      <c r="E36" s="190">
        <v>0</v>
      </c>
      <c r="F36" s="219">
        <v>0</v>
      </c>
      <c r="G36" s="219">
        <v>0</v>
      </c>
      <c r="H36" s="219">
        <v>33651.120000000003</v>
      </c>
      <c r="I36" s="219">
        <v>4853.95</v>
      </c>
      <c r="J36" s="219">
        <v>5590.25</v>
      </c>
      <c r="K36" s="219">
        <v>7401.83</v>
      </c>
      <c r="L36" s="219">
        <v>0</v>
      </c>
      <c r="M36" s="45">
        <f t="shared" si="0"/>
        <v>83465.149999999994</v>
      </c>
      <c r="N36" s="219">
        <v>0</v>
      </c>
    </row>
    <row r="37" spans="1:22">
      <c r="A37" s="119">
        <f t="shared" si="2"/>
        <v>2043</v>
      </c>
      <c r="B37" s="119">
        <f t="shared" si="2"/>
        <v>26</v>
      </c>
      <c r="C37" s="119">
        <f t="shared" si="2"/>
        <v>26</v>
      </c>
      <c r="D37" s="190">
        <v>31968</v>
      </c>
      <c r="E37" s="190">
        <v>0</v>
      </c>
      <c r="F37" s="219">
        <v>0</v>
      </c>
      <c r="G37" s="219">
        <v>0</v>
      </c>
      <c r="H37" s="219">
        <v>33651.120000000003</v>
      </c>
      <c r="I37" s="219">
        <v>4853.95</v>
      </c>
      <c r="J37" s="219">
        <v>5590.25</v>
      </c>
      <c r="K37" s="219">
        <v>7401.83</v>
      </c>
      <c r="L37" s="219">
        <v>0</v>
      </c>
      <c r="M37" s="45">
        <f t="shared" si="0"/>
        <v>83465.149999999994</v>
      </c>
      <c r="N37" s="219">
        <v>0</v>
      </c>
    </row>
    <row r="38" spans="1:22">
      <c r="A38" s="137">
        <f t="shared" si="2"/>
        <v>2044</v>
      </c>
      <c r="B38" s="137">
        <f t="shared" si="2"/>
        <v>27</v>
      </c>
      <c r="C38" s="137">
        <f t="shared" si="2"/>
        <v>27</v>
      </c>
      <c r="D38" s="190">
        <v>31968</v>
      </c>
      <c r="E38" s="190">
        <v>0</v>
      </c>
      <c r="F38" s="219">
        <v>0</v>
      </c>
      <c r="G38" s="219">
        <v>0</v>
      </c>
      <c r="H38" s="219">
        <v>33651.120000000003</v>
      </c>
      <c r="I38" s="219">
        <v>4853.95</v>
      </c>
      <c r="J38" s="219">
        <v>5590.25</v>
      </c>
      <c r="K38" s="219">
        <v>7401.83</v>
      </c>
      <c r="L38" s="219">
        <v>0</v>
      </c>
      <c r="M38" s="45">
        <f t="shared" si="0"/>
        <v>83465.149999999994</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6">
    <mergeCell ref="A10:C10"/>
    <mergeCell ref="D1:I1"/>
    <mergeCell ref="K1:L1"/>
    <mergeCell ref="E2:I2"/>
    <mergeCell ref="C3:L3"/>
    <mergeCell ref="D4:N4"/>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32"/>
      <c r="D4" s="2033"/>
      <c r="E4" s="2033"/>
      <c r="F4" s="2033"/>
      <c r="G4" s="2033"/>
      <c r="H4" s="2033"/>
      <c r="I4" s="2033"/>
      <c r="J4" s="2033"/>
      <c r="K4" s="2033"/>
      <c r="L4" s="2033"/>
      <c r="M4" s="2033"/>
      <c r="N4" s="211"/>
    </row>
    <row r="5" spans="1:22" ht="15.05">
      <c r="A5" s="211"/>
      <c r="B5" s="209"/>
      <c r="C5" s="599"/>
      <c r="D5" s="2087" t="s">
        <v>776</v>
      </c>
      <c r="E5" s="2087"/>
      <c r="F5" s="2087"/>
      <c r="G5" s="2087"/>
      <c r="H5" s="2087"/>
      <c r="I5" s="2087"/>
      <c r="J5" s="2087"/>
      <c r="K5" s="2087"/>
      <c r="L5" s="607">
        <f>'Egan Asset Summary'!L4</f>
        <v>0</v>
      </c>
      <c r="M5" s="608">
        <f>'Egan Asset Summary'!O4</f>
        <v>0</v>
      </c>
      <c r="N5" s="211"/>
    </row>
    <row r="6" spans="1:22" ht="15.05">
      <c r="A6" s="211"/>
      <c r="B6" s="209"/>
      <c r="C6" s="599"/>
      <c r="D6" s="2083"/>
      <c r="E6" s="2083"/>
      <c r="F6" s="2083"/>
      <c r="G6" s="2083"/>
      <c r="H6" s="2083"/>
      <c r="I6" s="2083"/>
      <c r="J6" s="2083"/>
      <c r="K6" s="2083"/>
      <c r="L6" s="607">
        <f>'Egan Asset Summary'!M5</f>
        <v>0</v>
      </c>
      <c r="M6" s="608">
        <f>'Egan Asset Summary'!O5</f>
        <v>0</v>
      </c>
      <c r="N6" s="211"/>
    </row>
    <row r="7" spans="1:22">
      <c r="A7" s="600"/>
      <c r="B7" s="209"/>
      <c r="C7" s="599"/>
      <c r="D7" s="2084"/>
      <c r="E7" s="2085"/>
      <c r="F7" s="2085"/>
      <c r="G7" s="2085"/>
      <c r="H7" s="2085"/>
      <c r="I7" s="2085"/>
      <c r="J7" s="2086"/>
      <c r="K7" s="2085"/>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777</v>
      </c>
      <c r="J10" s="293" t="s">
        <v>775</v>
      </c>
      <c r="K10" s="293" t="s">
        <v>778</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f t="shared" si="1"/>
        <v>3</v>
      </c>
      <c r="C14" s="137">
        <f t="shared" si="1"/>
        <v>3</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f t="shared" si="1"/>
        <v>4</v>
      </c>
      <c r="C15" s="119">
        <f t="shared" si="1"/>
        <v>4</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f t="shared" si="1"/>
        <v>5</v>
      </c>
      <c r="C16" s="119">
        <f t="shared" si="1"/>
        <v>5</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f t="shared" si="1"/>
        <v>6</v>
      </c>
      <c r="C17" s="119">
        <f t="shared" si="1"/>
        <v>6</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f t="shared" si="1"/>
        <v>7</v>
      </c>
      <c r="C18" s="119">
        <f t="shared" si="1"/>
        <v>7</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f t="shared" si="1"/>
        <v>8</v>
      </c>
      <c r="C19" s="119">
        <f t="shared" si="1"/>
        <v>8</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f t="shared" si="1"/>
        <v>9</v>
      </c>
      <c r="C20" s="119">
        <f t="shared" si="1"/>
        <v>9</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5184.1499999999996</v>
      </c>
      <c r="J28" s="219">
        <v>6026.24</v>
      </c>
      <c r="K28" s="219">
        <v>7678.32</v>
      </c>
      <c r="L28" s="219">
        <v>0</v>
      </c>
      <c r="M28" s="45">
        <f t="shared" si="0"/>
        <v>100491.82999999999</v>
      </c>
      <c r="N28" s="219">
        <v>0</v>
      </c>
    </row>
    <row r="29" spans="1:14">
      <c r="A29" s="119">
        <f t="shared" si="2"/>
        <v>2035</v>
      </c>
      <c r="B29" s="148">
        <f t="shared" si="2"/>
        <v>18</v>
      </c>
      <c r="C29" s="119">
        <f t="shared" si="2"/>
        <v>18</v>
      </c>
      <c r="D29" s="190">
        <v>31968</v>
      </c>
      <c r="E29" s="190">
        <v>15984</v>
      </c>
      <c r="F29" s="219">
        <v>0</v>
      </c>
      <c r="G29" s="219">
        <v>0</v>
      </c>
      <c r="H29" s="219">
        <v>33651.120000000003</v>
      </c>
      <c r="I29" s="219">
        <v>5184.1499999999996</v>
      </c>
      <c r="J29" s="219">
        <v>6026.24</v>
      </c>
      <c r="K29" s="219">
        <v>7678.32</v>
      </c>
      <c r="L29" s="219">
        <v>0</v>
      </c>
      <c r="M29" s="45">
        <f t="shared" si="0"/>
        <v>100491.82999999999</v>
      </c>
      <c r="N29" s="219">
        <v>0</v>
      </c>
    </row>
    <row r="30" spans="1:14">
      <c r="A30" s="119">
        <f t="shared" si="2"/>
        <v>2036</v>
      </c>
      <c r="B30" s="119">
        <f t="shared" si="2"/>
        <v>19</v>
      </c>
      <c r="C30" s="119">
        <f t="shared" si="2"/>
        <v>19</v>
      </c>
      <c r="D30" s="190">
        <v>31968</v>
      </c>
      <c r="E30" s="190">
        <v>15984</v>
      </c>
      <c r="F30" s="219">
        <v>0</v>
      </c>
      <c r="G30" s="219">
        <v>0</v>
      </c>
      <c r="H30" s="219">
        <v>33651.120000000003</v>
      </c>
      <c r="I30" s="219">
        <v>5184.1499999999996</v>
      </c>
      <c r="J30" s="219">
        <v>6026.24</v>
      </c>
      <c r="K30" s="219">
        <v>7678.32</v>
      </c>
      <c r="L30" s="219">
        <v>0</v>
      </c>
      <c r="M30" s="45">
        <f t="shared" si="0"/>
        <v>100491.82999999999</v>
      </c>
      <c r="N30" s="219">
        <v>0</v>
      </c>
    </row>
    <row r="31" spans="1:14">
      <c r="A31" s="119">
        <f t="shared" si="2"/>
        <v>2037</v>
      </c>
      <c r="B31" s="119">
        <f t="shared" si="2"/>
        <v>20</v>
      </c>
      <c r="C31" s="119">
        <f t="shared" si="2"/>
        <v>20</v>
      </c>
      <c r="D31" s="190">
        <v>31968</v>
      </c>
      <c r="E31" s="190">
        <v>15984</v>
      </c>
      <c r="F31" s="219">
        <v>0</v>
      </c>
      <c r="G31" s="219">
        <v>0</v>
      </c>
      <c r="H31" s="219">
        <v>33651.120000000003</v>
      </c>
      <c r="I31" s="219">
        <v>5184.1499999999996</v>
      </c>
      <c r="J31" s="219">
        <v>6026.24</v>
      </c>
      <c r="K31" s="219">
        <v>7678.32</v>
      </c>
      <c r="L31" s="219">
        <v>0</v>
      </c>
      <c r="M31" s="45">
        <f t="shared" si="0"/>
        <v>100491.82999999999</v>
      </c>
      <c r="N31" s="219">
        <v>0</v>
      </c>
    </row>
    <row r="32" spans="1:14">
      <c r="A32" s="119">
        <f t="shared" si="2"/>
        <v>2038</v>
      </c>
      <c r="B32" s="119">
        <f t="shared" si="2"/>
        <v>21</v>
      </c>
      <c r="C32" s="148">
        <f t="shared" si="2"/>
        <v>21</v>
      </c>
      <c r="D32" s="190">
        <v>31968</v>
      </c>
      <c r="E32" s="190">
        <v>15984</v>
      </c>
      <c r="F32" s="219">
        <v>0</v>
      </c>
      <c r="G32" s="219">
        <v>0</v>
      </c>
      <c r="H32" s="219">
        <v>33651.120000000003</v>
      </c>
      <c r="I32" s="219">
        <v>5184.1499999999996</v>
      </c>
      <c r="J32" s="219">
        <v>6026.24</v>
      </c>
      <c r="K32" s="219">
        <v>7678.32</v>
      </c>
      <c r="L32" s="219">
        <v>0</v>
      </c>
      <c r="M32" s="45">
        <f t="shared" si="0"/>
        <v>100491.82999999999</v>
      </c>
      <c r="N32" s="219">
        <v>0</v>
      </c>
    </row>
    <row r="33" spans="1:22">
      <c r="A33" s="119">
        <f t="shared" si="2"/>
        <v>2039</v>
      </c>
      <c r="B33" s="119">
        <f t="shared" si="2"/>
        <v>22</v>
      </c>
      <c r="C33" s="119">
        <f t="shared" si="2"/>
        <v>22</v>
      </c>
      <c r="D33" s="190">
        <v>31968</v>
      </c>
      <c r="E33" s="190">
        <v>15984</v>
      </c>
      <c r="F33" s="219">
        <v>0</v>
      </c>
      <c r="G33" s="219">
        <v>0</v>
      </c>
      <c r="H33" s="219">
        <v>33651.120000000003</v>
      </c>
      <c r="I33" s="219">
        <v>5184.1499999999996</v>
      </c>
      <c r="J33" s="219">
        <v>6026.24</v>
      </c>
      <c r="K33" s="219">
        <v>7678.32</v>
      </c>
      <c r="L33" s="219">
        <v>0</v>
      </c>
      <c r="M33" s="45">
        <f t="shared" si="0"/>
        <v>100491.82999999999</v>
      </c>
      <c r="N33" s="219">
        <v>0</v>
      </c>
    </row>
    <row r="34" spans="1:22">
      <c r="A34" s="119">
        <f t="shared" si="2"/>
        <v>2040</v>
      </c>
      <c r="B34" s="119">
        <f t="shared" si="2"/>
        <v>23</v>
      </c>
      <c r="C34" s="119">
        <f t="shared" si="2"/>
        <v>23</v>
      </c>
      <c r="D34" s="190">
        <v>31968</v>
      </c>
      <c r="E34" s="190">
        <v>15984</v>
      </c>
      <c r="F34" s="219">
        <v>0</v>
      </c>
      <c r="G34" s="219">
        <v>0</v>
      </c>
      <c r="H34" s="219">
        <v>33651.120000000003</v>
      </c>
      <c r="I34" s="219">
        <v>5184.1499999999996</v>
      </c>
      <c r="J34" s="219">
        <v>6026.24</v>
      </c>
      <c r="K34" s="219">
        <v>7678.32</v>
      </c>
      <c r="L34" s="219">
        <v>0</v>
      </c>
      <c r="M34" s="45">
        <f t="shared" si="0"/>
        <v>100491.82999999999</v>
      </c>
      <c r="N34" s="219">
        <v>0</v>
      </c>
    </row>
    <row r="35" spans="1:22">
      <c r="A35" s="119">
        <f t="shared" si="2"/>
        <v>2041</v>
      </c>
      <c r="B35" s="119">
        <f t="shared" si="2"/>
        <v>24</v>
      </c>
      <c r="C35" s="119">
        <f t="shared" si="2"/>
        <v>24</v>
      </c>
      <c r="D35" s="190">
        <v>31968</v>
      </c>
      <c r="E35" s="190">
        <v>15984</v>
      </c>
      <c r="F35" s="219">
        <v>0</v>
      </c>
      <c r="G35" s="219">
        <v>0</v>
      </c>
      <c r="H35" s="219">
        <v>33651.120000000003</v>
      </c>
      <c r="I35" s="219">
        <v>5184.1499999999996</v>
      </c>
      <c r="J35" s="219">
        <v>6026.24</v>
      </c>
      <c r="K35" s="219">
        <v>7678.32</v>
      </c>
      <c r="L35" s="219">
        <v>0</v>
      </c>
      <c r="M35" s="45">
        <f t="shared" si="0"/>
        <v>100491.82999999999</v>
      </c>
      <c r="N35" s="219">
        <v>0</v>
      </c>
    </row>
    <row r="36" spans="1:22">
      <c r="A36" s="119">
        <f t="shared" si="2"/>
        <v>2042</v>
      </c>
      <c r="B36" s="119">
        <f t="shared" si="2"/>
        <v>25</v>
      </c>
      <c r="C36" s="119">
        <f t="shared" si="2"/>
        <v>25</v>
      </c>
      <c r="D36" s="190">
        <v>31968</v>
      </c>
      <c r="E36" s="190">
        <v>15984</v>
      </c>
      <c r="F36" s="219">
        <v>0</v>
      </c>
      <c r="G36" s="219">
        <v>0</v>
      </c>
      <c r="H36" s="219">
        <v>33651.120000000003</v>
      </c>
      <c r="I36" s="219">
        <v>5184.1499999999996</v>
      </c>
      <c r="J36" s="219">
        <v>6026.24</v>
      </c>
      <c r="K36" s="219">
        <v>7678.32</v>
      </c>
      <c r="L36" s="219">
        <v>0</v>
      </c>
      <c r="M36" s="45">
        <f t="shared" si="0"/>
        <v>100491.82999999999</v>
      </c>
      <c r="N36" s="219">
        <v>0</v>
      </c>
    </row>
    <row r="37" spans="1:22">
      <c r="A37" s="119">
        <f t="shared" si="2"/>
        <v>2043</v>
      </c>
      <c r="B37" s="119">
        <f t="shared" si="2"/>
        <v>26</v>
      </c>
      <c r="C37" s="119">
        <f t="shared" si="2"/>
        <v>26</v>
      </c>
      <c r="D37" s="190">
        <v>31968</v>
      </c>
      <c r="E37" s="190">
        <v>15984</v>
      </c>
      <c r="F37" s="219">
        <v>0</v>
      </c>
      <c r="G37" s="219">
        <v>0</v>
      </c>
      <c r="H37" s="219">
        <v>33651.120000000003</v>
      </c>
      <c r="I37" s="219">
        <v>5184.1499999999996</v>
      </c>
      <c r="J37" s="219">
        <v>6026.24</v>
      </c>
      <c r="K37" s="219">
        <v>7678.32</v>
      </c>
      <c r="L37" s="219">
        <v>0</v>
      </c>
      <c r="M37" s="45">
        <f t="shared" si="0"/>
        <v>100491.82999999999</v>
      </c>
      <c r="N37" s="219">
        <v>0</v>
      </c>
    </row>
    <row r="38" spans="1:22">
      <c r="A38" s="137">
        <f t="shared" si="2"/>
        <v>2044</v>
      </c>
      <c r="B38" s="137">
        <f t="shared" si="2"/>
        <v>27</v>
      </c>
      <c r="C38" s="137">
        <f t="shared" si="2"/>
        <v>27</v>
      </c>
      <c r="D38" s="190">
        <v>31968</v>
      </c>
      <c r="E38" s="190">
        <f t="shared" ref="E38" si="3">E37*1.02</f>
        <v>16303.68</v>
      </c>
      <c r="F38" s="219">
        <v>0</v>
      </c>
      <c r="G38" s="219">
        <v>0</v>
      </c>
      <c r="H38" s="219">
        <v>33651.120000000003</v>
      </c>
      <c r="I38" s="219">
        <v>5184.1499999999996</v>
      </c>
      <c r="J38" s="219">
        <v>6026.24</v>
      </c>
      <c r="K38" s="219">
        <v>7678.32</v>
      </c>
      <c r="L38" s="219">
        <v>0</v>
      </c>
      <c r="M38" s="45">
        <f t="shared" si="0"/>
        <v>100811.51000000001</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2079" t="s">
        <v>779</v>
      </c>
      <c r="D4" s="2080"/>
      <c r="E4" s="2080"/>
      <c r="F4" s="2080"/>
      <c r="G4" s="2080"/>
      <c r="H4" s="2080"/>
      <c r="I4" s="2080"/>
      <c r="J4" s="2080"/>
      <c r="K4" s="2080"/>
      <c r="L4" s="2080"/>
      <c r="M4" s="2080"/>
      <c r="N4" s="211"/>
    </row>
    <row r="5" spans="1:22" ht="15.05">
      <c r="A5" s="211"/>
      <c r="B5" s="209"/>
      <c r="C5" s="599"/>
      <c r="D5" s="2089"/>
      <c r="E5" s="2089"/>
      <c r="F5" s="2089"/>
      <c r="G5" s="2089"/>
      <c r="H5" s="2089"/>
      <c r="I5" s="2089"/>
      <c r="J5" s="2089"/>
      <c r="K5" s="2089"/>
      <c r="L5" s="607">
        <f>'Egan Asset Summary'!L4</f>
        <v>0</v>
      </c>
      <c r="M5" s="608">
        <f>'Egan Asset Summary'!O4</f>
        <v>0</v>
      </c>
      <c r="N5" s="211"/>
    </row>
    <row r="6" spans="1:22" ht="15.05">
      <c r="A6" s="211"/>
      <c r="B6" s="209"/>
      <c r="C6" s="599"/>
      <c r="D6" s="1974"/>
      <c r="E6" s="1974"/>
      <c r="F6" s="1974"/>
      <c r="G6" s="1974"/>
      <c r="H6" s="1974"/>
      <c r="I6" s="1974"/>
      <c r="J6" s="1974"/>
      <c r="K6" s="1974"/>
      <c r="L6" s="607">
        <f>'Egan Asset Summary'!M5</f>
        <v>0</v>
      </c>
      <c r="M6" s="608">
        <f>'Egan Asset Summary'!O5</f>
        <v>0</v>
      </c>
      <c r="N6" s="211"/>
    </row>
    <row r="7" spans="1:22">
      <c r="A7" s="600"/>
      <c r="B7" s="209"/>
      <c r="C7" s="599"/>
      <c r="D7" s="1975"/>
      <c r="E7" s="1976"/>
      <c r="F7" s="1976"/>
      <c r="G7" s="1976"/>
      <c r="H7" s="1976"/>
      <c r="I7" s="1976"/>
      <c r="J7" s="2088"/>
      <c r="K7" s="1976"/>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777</v>
      </c>
      <c r="J10" s="293" t="s">
        <v>775</v>
      </c>
      <c r="K10" s="293" t="s">
        <v>778</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f t="shared" si="1"/>
        <v>3</v>
      </c>
      <c r="C14" s="137">
        <f t="shared" si="1"/>
        <v>3</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f t="shared" si="1"/>
        <v>4</v>
      </c>
      <c r="C15" s="119">
        <f t="shared" si="1"/>
        <v>4</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f t="shared" si="1"/>
        <v>5</v>
      </c>
      <c r="C16" s="119">
        <f t="shared" si="1"/>
        <v>5</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f t="shared" si="1"/>
        <v>6</v>
      </c>
      <c r="C17" s="119">
        <f t="shared" si="1"/>
        <v>6</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f t="shared" si="1"/>
        <v>7</v>
      </c>
      <c r="C18" s="119">
        <f t="shared" si="1"/>
        <v>7</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f t="shared" si="1"/>
        <v>8</v>
      </c>
      <c r="C19" s="119">
        <f t="shared" si="1"/>
        <v>8</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f t="shared" si="1"/>
        <v>9</v>
      </c>
      <c r="C20" s="119">
        <f t="shared" si="1"/>
        <v>9</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5184.1499999999996</v>
      </c>
      <c r="J28" s="219">
        <v>6026.24</v>
      </c>
      <c r="K28" s="219">
        <v>7678.32</v>
      </c>
      <c r="L28" s="219">
        <v>0</v>
      </c>
      <c r="M28" s="613">
        <f t="shared" si="0"/>
        <v>100491.82999999999</v>
      </c>
      <c r="N28" s="219">
        <v>0</v>
      </c>
    </row>
    <row r="29" spans="1:14">
      <c r="A29" s="119">
        <f t="shared" si="2"/>
        <v>2035</v>
      </c>
      <c r="B29" s="150">
        <f t="shared" si="2"/>
        <v>18</v>
      </c>
      <c r="C29" s="119">
        <f t="shared" si="2"/>
        <v>18</v>
      </c>
      <c r="D29" s="190">
        <v>31968</v>
      </c>
      <c r="E29" s="339">
        <v>0</v>
      </c>
      <c r="F29" s="219">
        <v>0</v>
      </c>
      <c r="G29" s="219">
        <v>0</v>
      </c>
      <c r="H29" s="481">
        <v>33651.120000000003</v>
      </c>
      <c r="I29" s="664">
        <v>5184.1499999999996</v>
      </c>
      <c r="J29" s="664">
        <v>6026.24</v>
      </c>
      <c r="K29" s="664">
        <v>7678.32</v>
      </c>
      <c r="L29" s="219">
        <v>0</v>
      </c>
      <c r="M29" s="337">
        <f t="shared" si="0"/>
        <v>84507.829999999987</v>
      </c>
      <c r="N29" s="219">
        <v>0</v>
      </c>
    </row>
    <row r="30" spans="1:14">
      <c r="A30" s="119">
        <f t="shared" si="2"/>
        <v>2036</v>
      </c>
      <c r="B30" s="119">
        <f t="shared" si="2"/>
        <v>19</v>
      </c>
      <c r="C30" s="119">
        <f t="shared" si="2"/>
        <v>19</v>
      </c>
      <c r="D30" s="190">
        <v>31968</v>
      </c>
      <c r="E30" s="190">
        <v>0</v>
      </c>
      <c r="F30" s="219">
        <v>0</v>
      </c>
      <c r="G30" s="219">
        <v>0</v>
      </c>
      <c r="H30" s="219">
        <v>33651.120000000003</v>
      </c>
      <c r="I30" s="219">
        <v>5184.1499999999996</v>
      </c>
      <c r="J30" s="219">
        <v>6026.24</v>
      </c>
      <c r="K30" s="219">
        <v>7678.32</v>
      </c>
      <c r="L30" s="219">
        <v>0</v>
      </c>
      <c r="M30" s="45">
        <f t="shared" si="0"/>
        <v>84507.829999999987</v>
      </c>
      <c r="N30" s="219">
        <v>0</v>
      </c>
    </row>
    <row r="31" spans="1:14">
      <c r="A31" s="119">
        <f t="shared" si="2"/>
        <v>2037</v>
      </c>
      <c r="B31" s="119">
        <f t="shared" si="2"/>
        <v>20</v>
      </c>
      <c r="C31" s="119">
        <f t="shared" si="2"/>
        <v>20</v>
      </c>
      <c r="D31" s="190">
        <v>31968</v>
      </c>
      <c r="E31" s="190">
        <v>0</v>
      </c>
      <c r="F31" s="219">
        <v>0</v>
      </c>
      <c r="G31" s="219">
        <v>0</v>
      </c>
      <c r="H31" s="219">
        <v>33651.120000000003</v>
      </c>
      <c r="I31" s="219">
        <v>5184.1499999999996</v>
      </c>
      <c r="J31" s="219">
        <v>6026.24</v>
      </c>
      <c r="K31" s="219">
        <v>7678.32</v>
      </c>
      <c r="L31" s="219">
        <v>0</v>
      </c>
      <c r="M31" s="45">
        <f t="shared" si="0"/>
        <v>84507.829999999987</v>
      </c>
      <c r="N31" s="219">
        <v>0</v>
      </c>
    </row>
    <row r="32" spans="1:14">
      <c r="A32" s="119">
        <f t="shared" si="2"/>
        <v>2038</v>
      </c>
      <c r="B32" s="119">
        <f t="shared" si="2"/>
        <v>21</v>
      </c>
      <c r="C32" s="148">
        <f t="shared" si="2"/>
        <v>21</v>
      </c>
      <c r="D32" s="190">
        <v>31968</v>
      </c>
      <c r="E32" s="190">
        <v>0</v>
      </c>
      <c r="F32" s="219">
        <v>0</v>
      </c>
      <c r="G32" s="219">
        <v>0</v>
      </c>
      <c r="H32" s="219">
        <v>33651.120000000003</v>
      </c>
      <c r="I32" s="219">
        <v>5184.1499999999996</v>
      </c>
      <c r="J32" s="219">
        <v>6026.24</v>
      </c>
      <c r="K32" s="219">
        <v>7678.32</v>
      </c>
      <c r="L32" s="219">
        <v>0</v>
      </c>
      <c r="M32" s="45">
        <f t="shared" si="0"/>
        <v>84507.829999999987</v>
      </c>
      <c r="N32" s="219">
        <v>0</v>
      </c>
    </row>
    <row r="33" spans="1:22">
      <c r="A33" s="119">
        <f t="shared" si="2"/>
        <v>2039</v>
      </c>
      <c r="B33" s="119">
        <f t="shared" si="2"/>
        <v>22</v>
      </c>
      <c r="C33" s="119">
        <f t="shared" si="2"/>
        <v>22</v>
      </c>
      <c r="D33" s="190">
        <v>31968</v>
      </c>
      <c r="E33" s="190">
        <v>0</v>
      </c>
      <c r="F33" s="219">
        <v>0</v>
      </c>
      <c r="G33" s="219">
        <v>0</v>
      </c>
      <c r="H33" s="219">
        <v>33651.120000000003</v>
      </c>
      <c r="I33" s="219">
        <v>5184.1499999999996</v>
      </c>
      <c r="J33" s="219">
        <v>6026.24</v>
      </c>
      <c r="K33" s="219">
        <v>7678.32</v>
      </c>
      <c r="L33" s="219">
        <v>0</v>
      </c>
      <c r="M33" s="45">
        <f t="shared" si="0"/>
        <v>84507.829999999987</v>
      </c>
      <c r="N33" s="219">
        <v>0</v>
      </c>
    </row>
    <row r="34" spans="1:22">
      <c r="A34" s="119">
        <f t="shared" si="2"/>
        <v>2040</v>
      </c>
      <c r="B34" s="119">
        <f t="shared" si="2"/>
        <v>23</v>
      </c>
      <c r="C34" s="119">
        <f t="shared" si="2"/>
        <v>23</v>
      </c>
      <c r="D34" s="190">
        <v>31968</v>
      </c>
      <c r="E34" s="190">
        <v>0</v>
      </c>
      <c r="F34" s="219">
        <v>0</v>
      </c>
      <c r="G34" s="219">
        <v>0</v>
      </c>
      <c r="H34" s="219">
        <v>33651.120000000003</v>
      </c>
      <c r="I34" s="219">
        <v>5184.1499999999996</v>
      </c>
      <c r="J34" s="219">
        <v>6026.24</v>
      </c>
      <c r="K34" s="219">
        <v>7678.32</v>
      </c>
      <c r="L34" s="219">
        <v>0</v>
      </c>
      <c r="M34" s="45">
        <f t="shared" si="0"/>
        <v>84507.829999999987</v>
      </c>
      <c r="N34" s="219">
        <v>0</v>
      </c>
    </row>
    <row r="35" spans="1:22">
      <c r="A35" s="119">
        <f t="shared" si="2"/>
        <v>2041</v>
      </c>
      <c r="B35" s="119">
        <f t="shared" si="2"/>
        <v>24</v>
      </c>
      <c r="C35" s="119">
        <f t="shared" si="2"/>
        <v>24</v>
      </c>
      <c r="D35" s="190">
        <v>31968</v>
      </c>
      <c r="E35" s="190">
        <v>0</v>
      </c>
      <c r="F35" s="219">
        <v>0</v>
      </c>
      <c r="G35" s="219">
        <v>0</v>
      </c>
      <c r="H35" s="219">
        <v>33651.120000000003</v>
      </c>
      <c r="I35" s="219">
        <v>5184.1499999999996</v>
      </c>
      <c r="J35" s="219">
        <v>6026.24</v>
      </c>
      <c r="K35" s="219">
        <v>7678.32</v>
      </c>
      <c r="L35" s="219">
        <v>0</v>
      </c>
      <c r="M35" s="45">
        <f t="shared" si="0"/>
        <v>84507.829999999987</v>
      </c>
      <c r="N35" s="219">
        <v>0</v>
      </c>
    </row>
    <row r="36" spans="1:22">
      <c r="A36" s="119">
        <f t="shared" si="2"/>
        <v>2042</v>
      </c>
      <c r="B36" s="119">
        <f t="shared" si="2"/>
        <v>25</v>
      </c>
      <c r="C36" s="119">
        <f t="shared" si="2"/>
        <v>25</v>
      </c>
      <c r="D36" s="190">
        <v>31968</v>
      </c>
      <c r="E36" s="190">
        <v>0</v>
      </c>
      <c r="F36" s="219">
        <v>0</v>
      </c>
      <c r="G36" s="219">
        <v>0</v>
      </c>
      <c r="H36" s="219">
        <v>33651.120000000003</v>
      </c>
      <c r="I36" s="219">
        <v>5184.1499999999996</v>
      </c>
      <c r="J36" s="219">
        <v>6026.24</v>
      </c>
      <c r="K36" s="219">
        <v>7678.32</v>
      </c>
      <c r="L36" s="219">
        <v>0</v>
      </c>
      <c r="M36" s="45">
        <f t="shared" si="0"/>
        <v>84507.829999999987</v>
      </c>
      <c r="N36" s="219">
        <v>0</v>
      </c>
    </row>
    <row r="37" spans="1:22">
      <c r="A37" s="119">
        <f t="shared" si="2"/>
        <v>2043</v>
      </c>
      <c r="B37" s="119">
        <f t="shared" si="2"/>
        <v>26</v>
      </c>
      <c r="C37" s="119">
        <f t="shared" si="2"/>
        <v>26</v>
      </c>
      <c r="D37" s="190">
        <v>31968</v>
      </c>
      <c r="E37" s="190">
        <v>0</v>
      </c>
      <c r="F37" s="219">
        <v>0</v>
      </c>
      <c r="G37" s="219">
        <v>0</v>
      </c>
      <c r="H37" s="219">
        <v>33651.120000000003</v>
      </c>
      <c r="I37" s="219">
        <v>5184.1499999999996</v>
      </c>
      <c r="J37" s="219">
        <v>6026.24</v>
      </c>
      <c r="K37" s="219">
        <v>7678.32</v>
      </c>
      <c r="L37" s="219">
        <v>0</v>
      </c>
      <c r="M37" s="45">
        <f t="shared" si="0"/>
        <v>84507.829999999987</v>
      </c>
      <c r="N37" s="219">
        <v>0</v>
      </c>
    </row>
    <row r="38" spans="1:22">
      <c r="A38" s="137">
        <f t="shared" si="2"/>
        <v>2044</v>
      </c>
      <c r="B38" s="137">
        <f t="shared" si="2"/>
        <v>27</v>
      </c>
      <c r="C38" s="137">
        <f t="shared" si="2"/>
        <v>27</v>
      </c>
      <c r="D38" s="190">
        <v>31968</v>
      </c>
      <c r="E38" s="190">
        <v>0</v>
      </c>
      <c r="F38" s="219">
        <v>0</v>
      </c>
      <c r="G38" s="219">
        <v>0</v>
      </c>
      <c r="H38" s="219">
        <v>33651.120000000003</v>
      </c>
      <c r="I38" s="219">
        <v>5184.1499999999996</v>
      </c>
      <c r="J38" s="219">
        <v>6026.24</v>
      </c>
      <c r="K38" s="219">
        <v>7678.32</v>
      </c>
      <c r="L38" s="219">
        <v>0</v>
      </c>
      <c r="M38" s="45">
        <f t="shared" si="0"/>
        <v>84507.829999999987</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tint="0.599963377788628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74"/>
      <c r="E1" s="1974"/>
      <c r="F1" s="1974"/>
      <c r="G1" s="1974"/>
      <c r="H1" s="1974"/>
      <c r="I1" s="1974"/>
      <c r="J1" s="71"/>
      <c r="K1" s="2030" t="s">
        <v>713</v>
      </c>
      <c r="L1" s="2030"/>
      <c r="M1" s="594">
        <f>'Egan Asset Summary'!O3</f>
        <v>0</v>
      </c>
      <c r="N1" s="211"/>
    </row>
    <row r="2" spans="1:22" ht="20.3">
      <c r="A2" s="302"/>
      <c r="B2" s="304"/>
      <c r="C2" s="329"/>
      <c r="D2" s="595"/>
      <c r="E2" s="1987" t="s">
        <v>714</v>
      </c>
      <c r="F2" s="1987"/>
      <c r="G2" s="1987"/>
      <c r="H2" s="1987"/>
      <c r="I2" s="1987"/>
      <c r="J2" s="595"/>
      <c r="K2" s="595"/>
      <c r="L2" s="595"/>
      <c r="M2" s="593">
        <f ca="1">'Egan Asset Summary'!G1</f>
        <v>46198</v>
      </c>
      <c r="N2" s="211"/>
    </row>
    <row r="3" spans="1:22" ht="24.05" customHeight="1">
      <c r="A3" s="302"/>
      <c r="B3" s="304"/>
      <c r="C3" s="1981" t="s">
        <v>715</v>
      </c>
      <c r="D3" s="1981"/>
      <c r="E3" s="1981"/>
      <c r="F3" s="1981"/>
      <c r="G3" s="1981"/>
      <c r="H3" s="1981"/>
      <c r="I3" s="1981"/>
      <c r="J3" s="1981"/>
      <c r="K3" s="1981"/>
      <c r="L3" s="1981"/>
      <c r="M3" s="637">
        <f>'Egan Asset Summary'!O3</f>
        <v>0</v>
      </c>
      <c r="N3" s="211"/>
    </row>
    <row r="4" spans="1:22" ht="19">
      <c r="A4" s="302"/>
      <c r="B4" s="304"/>
      <c r="C4" s="630"/>
      <c r="D4" s="2081" t="s">
        <v>780</v>
      </c>
      <c r="E4" s="2082"/>
      <c r="F4" s="2082"/>
      <c r="G4" s="2082"/>
      <c r="H4" s="2082"/>
      <c r="I4" s="2082"/>
      <c r="J4" s="2082"/>
      <c r="K4" s="2082"/>
      <c r="L4" s="2082"/>
      <c r="M4" s="2082"/>
      <c r="N4" s="2082"/>
    </row>
    <row r="5" spans="1:22" ht="15.05">
      <c r="A5" s="211"/>
      <c r="B5" s="209"/>
      <c r="C5" s="599"/>
      <c r="D5" s="632"/>
      <c r="E5" s="632"/>
      <c r="F5" s="632"/>
      <c r="G5" s="632"/>
      <c r="H5" s="632"/>
      <c r="I5" s="632"/>
      <c r="J5" s="632"/>
      <c r="K5" s="632"/>
      <c r="L5" s="607">
        <f>'Egan Asset Summary'!L4</f>
        <v>0</v>
      </c>
      <c r="M5" s="608">
        <f>'Egan Asset Summary'!O4</f>
        <v>0</v>
      </c>
      <c r="N5" s="211"/>
    </row>
    <row r="6" spans="1:22" ht="15.05">
      <c r="A6" s="211"/>
      <c r="B6" s="209"/>
      <c r="C6" s="599"/>
      <c r="D6" s="638"/>
      <c r="F6" s="71"/>
      <c r="G6" s="71"/>
      <c r="H6" s="71"/>
      <c r="I6" s="71"/>
      <c r="J6" s="71"/>
      <c r="K6" s="71"/>
      <c r="L6" s="607">
        <f>'Egan Asset Summary'!M5</f>
        <v>0</v>
      </c>
      <c r="M6" s="608">
        <f>'Egan Asset Summary'!O5</f>
        <v>0</v>
      </c>
      <c r="N6" s="211"/>
    </row>
    <row r="7" spans="1:22">
      <c r="A7" s="600"/>
      <c r="B7" s="209"/>
      <c r="C7" s="599"/>
      <c r="D7" s="628"/>
      <c r="E7" s="629"/>
      <c r="F7" s="629"/>
      <c r="G7" s="629"/>
      <c r="H7" s="629"/>
      <c r="I7" s="629"/>
      <c r="J7" s="631"/>
      <c r="K7" s="629"/>
      <c r="M7" s="597"/>
      <c r="N7" s="211"/>
    </row>
    <row r="8" spans="1:22" s="37" customFormat="1" ht="100" customHeight="1">
      <c r="A8" s="212" t="s">
        <v>26</v>
      </c>
      <c r="B8" s="212" t="s">
        <v>591</v>
      </c>
      <c r="C8" s="212" t="s">
        <v>592</v>
      </c>
      <c r="D8" s="36" t="s">
        <v>383</v>
      </c>
      <c r="E8" s="36" t="s">
        <v>524</v>
      </c>
      <c r="F8" s="36" t="s">
        <v>148</v>
      </c>
      <c r="G8" s="36" t="s">
        <v>154</v>
      </c>
      <c r="H8" s="36" t="s">
        <v>148</v>
      </c>
      <c r="I8" s="36" t="s">
        <v>145</v>
      </c>
      <c r="J8" s="36" t="s">
        <v>145</v>
      </c>
      <c r="K8" s="36" t="s">
        <v>145</v>
      </c>
      <c r="L8" s="36" t="s">
        <v>145</v>
      </c>
      <c r="M8" s="149" t="s">
        <v>31</v>
      </c>
      <c r="N8" s="36" t="s">
        <v>718</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2" t="s">
        <v>34</v>
      </c>
      <c r="B10" s="1532"/>
      <c r="C10" s="1977"/>
      <c r="D10" s="601" t="s">
        <v>719</v>
      </c>
      <c r="E10" s="601" t="s">
        <v>720</v>
      </c>
      <c r="F10" s="299" t="s">
        <v>721</v>
      </c>
      <c r="G10" s="293" t="s">
        <v>722</v>
      </c>
      <c r="H10" s="299" t="s">
        <v>723</v>
      </c>
      <c r="I10" s="293" t="s">
        <v>777</v>
      </c>
      <c r="J10" s="293" t="s">
        <v>725</v>
      </c>
      <c r="K10" s="293" t="s">
        <v>778</v>
      </c>
      <c r="L10" s="293"/>
      <c r="M10" s="218" t="s">
        <v>728</v>
      </c>
      <c r="N10" s="293" t="s">
        <v>625</v>
      </c>
    </row>
    <row r="11" spans="1:22">
      <c r="A11" s="119">
        <v>2017</v>
      </c>
      <c r="B11" s="155">
        <f>'Egan Asset Summary'!O4</f>
        <v>0</v>
      </c>
      <c r="C11" s="119">
        <f>'Egan Asset Summary'!O5</f>
        <v>0</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f t="shared" si="1"/>
        <v>1</v>
      </c>
      <c r="C12" s="603">
        <f t="shared" si="1"/>
        <v>1</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f t="shared" si="1"/>
        <v>2</v>
      </c>
      <c r="C13" s="148">
        <f t="shared" si="1"/>
        <v>2</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f t="shared" si="1"/>
        <v>3</v>
      </c>
      <c r="C14" s="137">
        <f t="shared" si="1"/>
        <v>3</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f t="shared" si="1"/>
        <v>4</v>
      </c>
      <c r="C15" s="119">
        <f t="shared" si="1"/>
        <v>4</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f t="shared" si="1"/>
        <v>5</v>
      </c>
      <c r="C16" s="119">
        <f t="shared" si="1"/>
        <v>5</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f t="shared" si="1"/>
        <v>6</v>
      </c>
      <c r="C17" s="119">
        <f t="shared" si="1"/>
        <v>6</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f t="shared" si="1"/>
        <v>7</v>
      </c>
      <c r="C18" s="119">
        <f t="shared" si="1"/>
        <v>7</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f t="shared" si="1"/>
        <v>8</v>
      </c>
      <c r="C19" s="119">
        <f t="shared" si="1"/>
        <v>8</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f t="shared" si="1"/>
        <v>9</v>
      </c>
      <c r="C20" s="119">
        <f t="shared" si="1"/>
        <v>9</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f t="shared" si="1"/>
        <v>10</v>
      </c>
      <c r="C21" s="119">
        <f t="shared" si="1"/>
        <v>10</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f t="shared" si="1"/>
        <v>11</v>
      </c>
      <c r="C22" s="119">
        <f t="shared" si="1"/>
        <v>11</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f t="shared" si="1"/>
        <v>12</v>
      </c>
      <c r="C23" s="119">
        <f t="shared" si="1"/>
        <v>12</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f t="shared" si="1"/>
        <v>13</v>
      </c>
      <c r="C24" s="119">
        <f t="shared" si="1"/>
        <v>13</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f t="shared" si="1"/>
        <v>14</v>
      </c>
      <c r="C25" s="119">
        <f t="shared" si="1"/>
        <v>14</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f t="shared" si="1"/>
        <v>15</v>
      </c>
      <c r="C26" s="221">
        <f t="shared" si="1"/>
        <v>15</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f t="shared" si="1"/>
        <v>16</v>
      </c>
      <c r="C27" s="119">
        <f t="shared" si="1"/>
        <v>16</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f t="shared" si="2"/>
        <v>17</v>
      </c>
      <c r="C28" s="119">
        <f t="shared" si="2"/>
        <v>17</v>
      </c>
      <c r="D28" s="190">
        <v>31968</v>
      </c>
      <c r="E28" s="190">
        <v>15984</v>
      </c>
      <c r="F28" s="219">
        <v>0</v>
      </c>
      <c r="G28" s="219">
        <v>0</v>
      </c>
      <c r="H28" s="219">
        <v>33651.120000000003</v>
      </c>
      <c r="I28" s="219">
        <v>5184.1499999999996</v>
      </c>
      <c r="J28" s="219">
        <v>6026.24</v>
      </c>
      <c r="K28" s="219">
        <v>7678.32</v>
      </c>
      <c r="L28" s="219">
        <v>0</v>
      </c>
      <c r="M28" s="45">
        <f t="shared" si="0"/>
        <v>100491.82999999999</v>
      </c>
      <c r="N28" s="219">
        <v>0</v>
      </c>
    </row>
    <row r="29" spans="1:14">
      <c r="A29" s="119">
        <f t="shared" si="2"/>
        <v>2035</v>
      </c>
      <c r="B29" s="148">
        <f t="shared" si="2"/>
        <v>18</v>
      </c>
      <c r="C29" s="119">
        <f t="shared" si="2"/>
        <v>18</v>
      </c>
      <c r="D29" s="190">
        <v>31968</v>
      </c>
      <c r="E29" s="190">
        <v>15984</v>
      </c>
      <c r="F29" s="219">
        <v>0</v>
      </c>
      <c r="G29" s="219">
        <v>0</v>
      </c>
      <c r="H29" s="219">
        <v>33651.120000000003</v>
      </c>
      <c r="I29" s="219">
        <v>5184.1499999999996</v>
      </c>
      <c r="J29" s="219">
        <v>6026.24</v>
      </c>
      <c r="K29" s="219">
        <v>7678.32</v>
      </c>
      <c r="L29" s="219">
        <v>0</v>
      </c>
      <c r="M29" s="45">
        <f t="shared" si="0"/>
        <v>100491.82999999999</v>
      </c>
      <c r="N29" s="219">
        <v>0</v>
      </c>
    </row>
    <row r="30" spans="1:14">
      <c r="A30" s="119">
        <f t="shared" si="2"/>
        <v>2036</v>
      </c>
      <c r="B30" s="119">
        <f t="shared" si="2"/>
        <v>19</v>
      </c>
      <c r="C30" s="119">
        <f t="shared" si="2"/>
        <v>19</v>
      </c>
      <c r="D30" s="190">
        <v>31968</v>
      </c>
      <c r="E30" s="190">
        <v>15984</v>
      </c>
      <c r="F30" s="219">
        <v>0</v>
      </c>
      <c r="G30" s="219">
        <v>0</v>
      </c>
      <c r="H30" s="219">
        <v>33651.120000000003</v>
      </c>
      <c r="I30" s="219">
        <v>5184.1499999999996</v>
      </c>
      <c r="J30" s="219">
        <v>6026.24</v>
      </c>
      <c r="K30" s="219">
        <v>7678.32</v>
      </c>
      <c r="L30" s="219">
        <v>0</v>
      </c>
      <c r="M30" s="45">
        <f t="shared" si="0"/>
        <v>100491.82999999999</v>
      </c>
      <c r="N30" s="219">
        <v>0</v>
      </c>
    </row>
    <row r="31" spans="1:14">
      <c r="A31" s="119">
        <f t="shared" si="2"/>
        <v>2037</v>
      </c>
      <c r="B31" s="119">
        <f t="shared" si="2"/>
        <v>20</v>
      </c>
      <c r="C31" s="119">
        <f t="shared" si="2"/>
        <v>20</v>
      </c>
      <c r="D31" s="190">
        <v>31968</v>
      </c>
      <c r="E31" s="190">
        <v>15984</v>
      </c>
      <c r="F31" s="219">
        <v>0</v>
      </c>
      <c r="G31" s="219">
        <v>0</v>
      </c>
      <c r="H31" s="219">
        <v>33651.120000000003</v>
      </c>
      <c r="I31" s="219">
        <v>5184.1499999999996</v>
      </c>
      <c r="J31" s="219">
        <v>6026.24</v>
      </c>
      <c r="K31" s="219">
        <v>7678.32</v>
      </c>
      <c r="L31" s="219">
        <v>0</v>
      </c>
      <c r="M31" s="613">
        <f t="shared" si="0"/>
        <v>100491.82999999999</v>
      </c>
      <c r="N31" s="219">
        <v>0</v>
      </c>
    </row>
    <row r="32" spans="1:14">
      <c r="A32" s="119">
        <f t="shared" si="2"/>
        <v>2038</v>
      </c>
      <c r="B32" s="119">
        <f t="shared" si="2"/>
        <v>21</v>
      </c>
      <c r="C32" s="341">
        <f t="shared" si="2"/>
        <v>21</v>
      </c>
      <c r="D32" s="190">
        <v>31968</v>
      </c>
      <c r="E32" s="339">
        <v>0</v>
      </c>
      <c r="F32" s="219">
        <v>0</v>
      </c>
      <c r="G32" s="219">
        <v>0</v>
      </c>
      <c r="H32" s="481">
        <v>33651.120000000003</v>
      </c>
      <c r="I32" s="664">
        <v>5184.1499999999996</v>
      </c>
      <c r="J32" s="664">
        <v>6026.24</v>
      </c>
      <c r="K32" s="664">
        <v>7678.32</v>
      </c>
      <c r="L32" s="219">
        <v>0</v>
      </c>
      <c r="M32" s="340">
        <f t="shared" si="0"/>
        <v>84507.829999999987</v>
      </c>
      <c r="N32" s="219">
        <v>0</v>
      </c>
    </row>
    <row r="33" spans="1:22">
      <c r="A33" s="119">
        <f t="shared" si="2"/>
        <v>2039</v>
      </c>
      <c r="B33" s="119">
        <f t="shared" si="2"/>
        <v>22</v>
      </c>
      <c r="C33" s="119">
        <f t="shared" si="2"/>
        <v>22</v>
      </c>
      <c r="D33" s="190">
        <v>31968</v>
      </c>
      <c r="E33" s="190">
        <v>0</v>
      </c>
      <c r="F33" s="219">
        <v>0</v>
      </c>
      <c r="G33" s="219">
        <v>0</v>
      </c>
      <c r="H33" s="219">
        <v>33651.120000000003</v>
      </c>
      <c r="I33" s="219">
        <v>5184.1499999999996</v>
      </c>
      <c r="J33" s="219">
        <v>6026.24</v>
      </c>
      <c r="K33" s="219">
        <v>7678.32</v>
      </c>
      <c r="L33" s="219">
        <v>0</v>
      </c>
      <c r="M33" s="45">
        <f t="shared" si="0"/>
        <v>84507.829999999987</v>
      </c>
      <c r="N33" s="219">
        <v>0</v>
      </c>
    </row>
    <row r="34" spans="1:22">
      <c r="A34" s="119">
        <f t="shared" si="2"/>
        <v>2040</v>
      </c>
      <c r="B34" s="119">
        <f t="shared" si="2"/>
        <v>23</v>
      </c>
      <c r="C34" s="119">
        <f t="shared" si="2"/>
        <v>23</v>
      </c>
      <c r="D34" s="190">
        <v>31968</v>
      </c>
      <c r="E34" s="190">
        <v>0</v>
      </c>
      <c r="F34" s="219">
        <v>0</v>
      </c>
      <c r="G34" s="219">
        <v>0</v>
      </c>
      <c r="H34" s="219">
        <v>33651.120000000003</v>
      </c>
      <c r="I34" s="219">
        <v>5184.1499999999996</v>
      </c>
      <c r="J34" s="219">
        <v>6026.24</v>
      </c>
      <c r="K34" s="219">
        <v>7678.32</v>
      </c>
      <c r="L34" s="219">
        <v>0</v>
      </c>
      <c r="M34" s="45">
        <f t="shared" si="0"/>
        <v>84507.829999999987</v>
      </c>
      <c r="N34" s="219">
        <v>0</v>
      </c>
    </row>
    <row r="35" spans="1:22">
      <c r="A35" s="119">
        <f t="shared" si="2"/>
        <v>2041</v>
      </c>
      <c r="B35" s="119">
        <f t="shared" si="2"/>
        <v>24</v>
      </c>
      <c r="C35" s="119">
        <f t="shared" si="2"/>
        <v>24</v>
      </c>
      <c r="D35" s="190">
        <v>31968</v>
      </c>
      <c r="E35" s="190">
        <v>0</v>
      </c>
      <c r="F35" s="219">
        <v>0</v>
      </c>
      <c r="G35" s="219">
        <v>0</v>
      </c>
      <c r="H35" s="219">
        <v>33651.120000000003</v>
      </c>
      <c r="I35" s="219">
        <v>5184.1499999999996</v>
      </c>
      <c r="J35" s="219">
        <v>6026.24</v>
      </c>
      <c r="K35" s="219">
        <v>7678.32</v>
      </c>
      <c r="L35" s="219">
        <v>0</v>
      </c>
      <c r="M35" s="45">
        <f t="shared" si="0"/>
        <v>84507.829999999987</v>
      </c>
      <c r="N35" s="219">
        <v>0</v>
      </c>
    </row>
    <row r="36" spans="1:22">
      <c r="A36" s="119">
        <f t="shared" si="2"/>
        <v>2042</v>
      </c>
      <c r="B36" s="119">
        <f t="shared" si="2"/>
        <v>25</v>
      </c>
      <c r="C36" s="119">
        <f t="shared" si="2"/>
        <v>25</v>
      </c>
      <c r="D36" s="190">
        <v>31968</v>
      </c>
      <c r="E36" s="190">
        <v>0</v>
      </c>
      <c r="F36" s="219">
        <v>0</v>
      </c>
      <c r="G36" s="219">
        <v>0</v>
      </c>
      <c r="H36" s="219">
        <v>33651.120000000003</v>
      </c>
      <c r="I36" s="219">
        <v>5184.1499999999996</v>
      </c>
      <c r="J36" s="219">
        <v>6026.24</v>
      </c>
      <c r="K36" s="219">
        <v>7678.32</v>
      </c>
      <c r="L36" s="219">
        <v>0</v>
      </c>
      <c r="M36" s="45">
        <f t="shared" si="0"/>
        <v>84507.829999999987</v>
      </c>
      <c r="N36" s="219">
        <v>0</v>
      </c>
    </row>
    <row r="37" spans="1:22">
      <c r="A37" s="119">
        <f t="shared" si="2"/>
        <v>2043</v>
      </c>
      <c r="B37" s="119">
        <f t="shared" si="2"/>
        <v>26</v>
      </c>
      <c r="C37" s="119">
        <f t="shared" si="2"/>
        <v>26</v>
      </c>
      <c r="D37" s="190">
        <v>31968</v>
      </c>
      <c r="E37" s="190">
        <v>0</v>
      </c>
      <c r="F37" s="219">
        <v>0</v>
      </c>
      <c r="G37" s="219">
        <v>0</v>
      </c>
      <c r="H37" s="219">
        <v>33651.120000000003</v>
      </c>
      <c r="I37" s="219">
        <v>5184.1499999999996</v>
      </c>
      <c r="J37" s="219">
        <v>6026.24</v>
      </c>
      <c r="K37" s="219">
        <v>7678.32</v>
      </c>
      <c r="L37" s="219">
        <v>0</v>
      </c>
      <c r="M37" s="45">
        <f t="shared" si="0"/>
        <v>84507.829999999987</v>
      </c>
      <c r="N37" s="219">
        <v>0</v>
      </c>
    </row>
    <row r="38" spans="1:22">
      <c r="A38" s="137">
        <f t="shared" si="2"/>
        <v>2044</v>
      </c>
      <c r="B38" s="137">
        <f t="shared" si="2"/>
        <v>27</v>
      </c>
      <c r="C38" s="137">
        <f t="shared" si="2"/>
        <v>27</v>
      </c>
      <c r="D38" s="190">
        <v>31968</v>
      </c>
      <c r="E38" s="190">
        <v>0</v>
      </c>
      <c r="F38" s="219">
        <v>0</v>
      </c>
      <c r="G38" s="219">
        <v>0</v>
      </c>
      <c r="H38" s="219">
        <v>33651.120000000003</v>
      </c>
      <c r="I38" s="219">
        <v>5184.1499999999996</v>
      </c>
      <c r="J38" s="219">
        <v>6026.24</v>
      </c>
      <c r="K38" s="219">
        <v>7678.32</v>
      </c>
      <c r="L38" s="219">
        <v>0</v>
      </c>
      <c r="M38" s="45">
        <f t="shared" si="0"/>
        <v>84507.829999999987</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6">
    <mergeCell ref="A10:C10"/>
    <mergeCell ref="D1:I1"/>
    <mergeCell ref="K1:L1"/>
    <mergeCell ref="E2:I2"/>
    <mergeCell ref="C3:L3"/>
    <mergeCell ref="D4:N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s>
  <sheetData>
    <row r="1" spans="1:13" ht="24.25">
      <c r="A1" s="135" t="s">
        <v>72</v>
      </c>
      <c r="B1" s="134" t="s">
        <v>73</v>
      </c>
      <c r="C1" s="133" t="s">
        <v>74</v>
      </c>
      <c r="D1" s="1985" t="s">
        <v>781</v>
      </c>
      <c r="E1" s="1721"/>
      <c r="F1" s="1721"/>
      <c r="G1" s="1721"/>
      <c r="H1" s="1721"/>
      <c r="I1" s="1721"/>
      <c r="J1" s="1721"/>
      <c r="K1" s="1721"/>
      <c r="L1" s="1721"/>
      <c r="M1" s="1721"/>
    </row>
    <row r="2" spans="1:13" ht="18.350000000000001">
      <c r="A2" s="296">
        <f>'Egan Asset Summary'!M17</f>
        <v>321628.61</v>
      </c>
      <c r="B2" s="298">
        <f>'Egan Asset Summary'!M31</f>
        <v>0</v>
      </c>
      <c r="C2" s="297">
        <f>'Egan Asset Summary'!O32</f>
        <v>188000</v>
      </c>
      <c r="D2" s="1586"/>
      <c r="E2" s="1586"/>
      <c r="F2" s="1586"/>
      <c r="G2" s="1586"/>
      <c r="H2" s="1586"/>
      <c r="I2" s="1586"/>
      <c r="J2" s="1586"/>
      <c r="K2" s="1586"/>
      <c r="L2" s="1586"/>
      <c r="M2" s="1586"/>
    </row>
    <row r="3" spans="1:13" ht="26.2">
      <c r="A3" s="34"/>
      <c r="B3" s="118"/>
      <c r="C3" s="35"/>
      <c r="D3" s="1587" t="s">
        <v>76</v>
      </c>
      <c r="E3" s="1588"/>
      <c r="F3" s="1588"/>
      <c r="G3" s="1588"/>
      <c r="H3" s="1588"/>
      <c r="I3" s="1588"/>
      <c r="J3" s="385">
        <f>'Egan Asset Summary'!O3</f>
        <v>0</v>
      </c>
    </row>
    <row r="4" spans="1:13" ht="14.4">
      <c r="A4" s="34"/>
      <c r="B4" s="118"/>
      <c r="C4" s="35"/>
      <c r="E4" s="75"/>
      <c r="F4" s="75"/>
      <c r="G4" s="75"/>
      <c r="I4" s="1589"/>
      <c r="J4" s="1590"/>
      <c r="K4" s="1590"/>
      <c r="L4" s="1590"/>
      <c r="M4" s="1590"/>
    </row>
    <row r="5" spans="1:13" ht="18.350000000000001">
      <c r="A5" s="34"/>
      <c r="B5" s="118"/>
      <c r="C5" s="35"/>
      <c r="E5" s="75"/>
      <c r="F5" s="75"/>
      <c r="G5" s="75"/>
      <c r="I5" s="1722"/>
      <c r="J5" s="1723"/>
      <c r="K5" s="1723"/>
      <c r="L5" s="1723"/>
      <c r="M5" s="1723"/>
    </row>
    <row r="6" spans="1:13">
      <c r="I6" s="1724"/>
      <c r="J6" s="1724"/>
      <c r="K6" s="1724"/>
      <c r="L6" s="1724"/>
      <c r="M6" s="1724"/>
    </row>
    <row r="7" spans="1:13" ht="24.25">
      <c r="I7" s="1725"/>
      <c r="J7" s="1726"/>
      <c r="K7" s="1726"/>
      <c r="L7" s="1726"/>
      <c r="M7" s="1726"/>
    </row>
    <row r="8" spans="1:13" ht="20.3">
      <c r="I8" s="1574" t="s">
        <v>78</v>
      </c>
      <c r="J8" s="1574"/>
      <c r="K8" s="1574"/>
      <c r="L8" s="1574"/>
      <c r="M8" s="289"/>
    </row>
    <row r="9" spans="1:13" ht="18" customHeight="1">
      <c r="I9" s="2090" t="s">
        <v>782</v>
      </c>
      <c r="J9" s="1730"/>
      <c r="K9" s="1730"/>
      <c r="L9" s="1730"/>
      <c r="M9" s="262"/>
    </row>
    <row r="10" spans="1:13" ht="17.55" customHeight="1">
      <c r="I10" s="1729" t="s">
        <v>783</v>
      </c>
      <c r="J10" s="1730"/>
      <c r="K10" s="1730"/>
      <c r="L10" s="1730"/>
      <c r="M10" s="262"/>
    </row>
    <row r="11" spans="1:13" ht="17.7">
      <c r="I11" s="1729" t="s">
        <v>409</v>
      </c>
      <c r="J11" s="2091"/>
      <c r="K11" s="2091"/>
      <c r="L11" s="2091"/>
      <c r="M11" s="286"/>
    </row>
    <row r="12" spans="1:13" ht="15.75">
      <c r="I12" s="2021"/>
      <c r="J12" s="2021"/>
      <c r="K12" s="2021"/>
      <c r="L12" s="2021"/>
      <c r="M12" s="2021"/>
    </row>
    <row r="13" spans="1:13" ht="20.3">
      <c r="I13" s="1729" t="s">
        <v>784</v>
      </c>
      <c r="J13" s="1574"/>
      <c r="K13" s="1574"/>
      <c r="L13" s="1574"/>
      <c r="M13" s="639"/>
    </row>
    <row r="14" spans="1:13" ht="20.3">
      <c r="I14" s="633"/>
      <c r="J14" s="231" t="s">
        <v>145</v>
      </c>
      <c r="K14" s="232" t="s">
        <v>785</v>
      </c>
      <c r="L14" s="348" t="s">
        <v>786</v>
      </c>
      <c r="M14" s="287"/>
    </row>
    <row r="15" spans="1:13" ht="18.350000000000001">
      <c r="I15" s="320" t="s">
        <v>83</v>
      </c>
      <c r="J15" s="236">
        <f>J3</f>
        <v>0</v>
      </c>
      <c r="K15" s="236">
        <f>J3</f>
        <v>0</v>
      </c>
      <c r="L15" s="236">
        <f>J3</f>
        <v>0</v>
      </c>
      <c r="M15" s="287"/>
    </row>
    <row r="16" spans="1:13" ht="17.7">
      <c r="I16" s="238" t="s">
        <v>84</v>
      </c>
      <c r="J16" s="316">
        <f>'Alt Cash Flow  Snapshot No Plan'!M25</f>
        <v>35892</v>
      </c>
      <c r="K16" s="609" t="e">
        <f>#REF!</f>
        <v>#REF!</v>
      </c>
      <c r="L16" s="241" t="e">
        <f>#REF!</f>
        <v>#REF!</v>
      </c>
      <c r="M16" s="287"/>
    </row>
    <row r="17" spans="9:14" ht="18.350000000000001">
      <c r="I17" s="634" t="s">
        <v>86</v>
      </c>
      <c r="J17" s="656">
        <f>J15-J16</f>
        <v>-35892</v>
      </c>
      <c r="K17" s="261" t="e">
        <f>K15-K16</f>
        <v>#REF!</v>
      </c>
      <c r="L17" s="261" t="e">
        <f>L15-L16</f>
        <v>#REF!</v>
      </c>
      <c r="M17" s="288"/>
    </row>
    <row r="18" spans="9:14" ht="14.25" customHeight="1">
      <c r="I18" s="635" t="s">
        <v>88</v>
      </c>
      <c r="J18" s="262"/>
      <c r="K18" s="262"/>
      <c r="L18" s="262"/>
      <c r="M18" s="262"/>
    </row>
    <row r="19" spans="9:14" ht="14.25" customHeight="1">
      <c r="I19" s="1724"/>
      <c r="J19" s="1724"/>
      <c r="K19" s="1724"/>
      <c r="L19" s="1724"/>
      <c r="M19" s="1724"/>
    </row>
    <row r="20" spans="9:14" ht="24.25">
      <c r="I20" s="2093"/>
      <c r="J20" s="2093"/>
      <c r="K20" s="2093"/>
      <c r="L20" s="2093"/>
    </row>
    <row r="21" spans="9:14" ht="20.3">
      <c r="I21" s="1576" t="s">
        <v>787</v>
      </c>
      <c r="J21" s="1577"/>
      <c r="K21" s="1577"/>
      <c r="L21" s="1577"/>
      <c r="M21" s="1577"/>
    </row>
    <row r="22" spans="9:14" ht="18" customHeight="1">
      <c r="I22" s="1576" t="s">
        <v>788</v>
      </c>
      <c r="J22" s="1577"/>
      <c r="K22" s="1577"/>
      <c r="L22" s="1577"/>
      <c r="M22" s="383"/>
    </row>
    <row r="23" spans="9:14" ht="17.55" customHeight="1">
      <c r="I23" s="1576" t="s">
        <v>789</v>
      </c>
      <c r="J23" s="1576"/>
      <c r="K23" s="1576"/>
      <c r="L23" s="1576"/>
      <c r="M23" s="383"/>
    </row>
    <row r="24" spans="9:14" ht="18" customHeight="1">
      <c r="I24" s="1576" t="s">
        <v>409</v>
      </c>
      <c r="J24" s="2092"/>
      <c r="K24" s="2092"/>
      <c r="L24" s="2092"/>
      <c r="M24" s="383"/>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0">
    <mergeCell ref="I24:L24"/>
    <mergeCell ref="I37:M37"/>
    <mergeCell ref="I13:L13"/>
    <mergeCell ref="I19:M19"/>
    <mergeCell ref="I20:L20"/>
    <mergeCell ref="I21:M21"/>
    <mergeCell ref="I22:L22"/>
    <mergeCell ref="I23:L23"/>
    <mergeCell ref="I12:M12"/>
    <mergeCell ref="D1:M1"/>
    <mergeCell ref="D2:M2"/>
    <mergeCell ref="D3:I3"/>
    <mergeCell ref="I4:M4"/>
    <mergeCell ref="I5:M5"/>
    <mergeCell ref="I6:M6"/>
    <mergeCell ref="I7:M7"/>
    <mergeCell ref="I8:L8"/>
    <mergeCell ref="I9:L9"/>
    <mergeCell ref="I10:L10"/>
    <mergeCell ref="I11:L11"/>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tint="-0.249977111117893"/>
  </sheetPr>
  <dimension ref="A1:N298"/>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72</v>
      </c>
      <c r="B1" s="452" t="s">
        <v>73</v>
      </c>
      <c r="C1" s="133" t="s">
        <v>74</v>
      </c>
      <c r="D1" s="2095" t="s">
        <v>790</v>
      </c>
      <c r="E1" s="2096"/>
      <c r="F1" s="2096"/>
      <c r="G1" s="2096"/>
      <c r="H1" s="2096"/>
      <c r="I1" s="2096"/>
      <c r="J1" s="2096"/>
      <c r="K1" s="2096"/>
      <c r="L1" s="2096"/>
      <c r="M1" s="2096"/>
      <c r="N1" s="2096"/>
    </row>
    <row r="2" spans="1:14" ht="18.350000000000001">
      <c r="A2" s="296">
        <f>'Egan Asset Summary'!O18</f>
        <v>321628.61</v>
      </c>
      <c r="B2" s="453">
        <v>300000</v>
      </c>
      <c r="C2" s="297" t="e">
        <f>#REF!</f>
        <v>#REF!</v>
      </c>
      <c r="D2" s="2097"/>
      <c r="E2" s="2097"/>
      <c r="F2" s="2097"/>
      <c r="G2" s="2097"/>
      <c r="H2" s="2097"/>
      <c r="I2" s="2097"/>
      <c r="J2" s="2097"/>
      <c r="K2" s="2097"/>
      <c r="L2" s="2097"/>
      <c r="M2" s="2097"/>
      <c r="N2" s="653"/>
    </row>
    <row r="3" spans="1:14" ht="26.2">
      <c r="A3" s="34"/>
      <c r="B3" s="454"/>
      <c r="C3" s="35"/>
      <c r="D3" s="2098" t="s">
        <v>697</v>
      </c>
      <c r="E3" s="2099"/>
      <c r="F3" s="2099"/>
      <c r="G3" s="2099"/>
      <c r="H3" s="2099"/>
      <c r="I3" s="2099"/>
      <c r="J3" s="648">
        <f>'Egan Asset Summary'!O3</f>
        <v>0</v>
      </c>
      <c r="K3" s="653"/>
      <c r="L3" s="659" t="s">
        <v>765</v>
      </c>
      <c r="M3" s="659" t="s">
        <v>791</v>
      </c>
      <c r="N3" s="659" t="s">
        <v>767</v>
      </c>
    </row>
    <row r="4" spans="1:14" ht="14.4">
      <c r="A4" s="34"/>
      <c r="B4" s="118"/>
      <c r="C4" s="35"/>
      <c r="D4" s="75"/>
      <c r="E4" s="75"/>
      <c r="F4" s="75"/>
      <c r="G4" s="75"/>
      <c r="I4" s="1589"/>
      <c r="J4" s="1590"/>
      <c r="K4" s="1590"/>
      <c r="L4" s="1590"/>
      <c r="M4" s="1590"/>
    </row>
    <row r="5" spans="1:14" ht="20.3">
      <c r="A5" s="34"/>
      <c r="B5" s="118"/>
      <c r="C5" s="35"/>
      <c r="D5" s="75"/>
      <c r="E5" s="75"/>
      <c r="F5" s="75"/>
      <c r="G5" s="75"/>
      <c r="I5" s="1576" t="s">
        <v>698</v>
      </c>
      <c r="J5" s="1576"/>
      <c r="K5" s="1576"/>
      <c r="L5" s="1576"/>
      <c r="M5" s="1576"/>
    </row>
    <row r="6" spans="1:14" ht="30.8">
      <c r="I6" s="2018" t="s">
        <v>792</v>
      </c>
      <c r="J6" s="2019"/>
      <c r="K6" s="2019"/>
      <c r="L6" s="2019"/>
      <c r="M6" s="2019"/>
    </row>
    <row r="7" spans="1:14" ht="20.3">
      <c r="I7" s="2020" t="s">
        <v>768</v>
      </c>
      <c r="J7" s="2020"/>
      <c r="K7" s="2020"/>
      <c r="L7" s="2020"/>
      <c r="M7" s="118"/>
    </row>
    <row r="8" spans="1:14" ht="20.3">
      <c r="I8" s="636"/>
      <c r="J8" s="641" t="s">
        <v>701</v>
      </c>
      <c r="K8" s="642" t="s">
        <v>702</v>
      </c>
      <c r="L8" s="643" t="s">
        <v>703</v>
      </c>
      <c r="M8" s="641" t="s">
        <v>704</v>
      </c>
    </row>
    <row r="9" spans="1:14" ht="18.350000000000001">
      <c r="I9" s="320" t="s">
        <v>83</v>
      </c>
      <c r="J9" s="644">
        <f>J3</f>
        <v>0</v>
      </c>
      <c r="K9" s="644">
        <f>J3</f>
        <v>0</v>
      </c>
      <c r="L9" s="644">
        <f>J3</f>
        <v>0</v>
      </c>
      <c r="M9" s="640" t="s">
        <v>705</v>
      </c>
    </row>
    <row r="10" spans="1:14" ht="17.7">
      <c r="I10" s="238" t="s">
        <v>84</v>
      </c>
      <c r="J10" s="649">
        <f>'Retirement Gold joint $400 Plan'!M13</f>
        <v>55821.07</v>
      </c>
      <c r="K10" s="379">
        <f>'Retirement Silver Her Survival'!M29</f>
        <v>83465.149999999994</v>
      </c>
      <c r="L10" s="241">
        <f>'Retirement Silver His Survival'!M32</f>
        <v>83465.149999999994</v>
      </c>
      <c r="M10" s="651">
        <f>'Retirement Silver $300 Joint'!N13</f>
        <v>7280.93</v>
      </c>
    </row>
    <row r="11" spans="1:14" ht="18.350000000000001">
      <c r="I11" s="634" t="s">
        <v>96</v>
      </c>
      <c r="J11" s="655">
        <f>J9-J10</f>
        <v>-55821.07</v>
      </c>
      <c r="K11" s="646">
        <f>K9-K10</f>
        <v>-83465.149999999994</v>
      </c>
      <c r="L11" s="646">
        <f>L9-L10</f>
        <v>-83465.149999999994</v>
      </c>
      <c r="M11" s="286"/>
    </row>
    <row r="12" spans="1:14" ht="15.75">
      <c r="I12" s="2021"/>
      <c r="J12" s="2021"/>
      <c r="K12" s="2021"/>
      <c r="L12" s="2021"/>
      <c r="M12" s="2021"/>
    </row>
    <row r="13" spans="1:14" ht="20.3">
      <c r="I13" s="2020" t="s">
        <v>793</v>
      </c>
      <c r="J13" s="2020"/>
      <c r="K13" s="2020"/>
      <c r="L13" s="2020"/>
      <c r="M13" s="652"/>
    </row>
    <row r="14" spans="1:14" ht="20.3">
      <c r="I14" s="633"/>
      <c r="J14" s="641" t="s">
        <v>701</v>
      </c>
      <c r="K14" s="642" t="s">
        <v>702</v>
      </c>
      <c r="L14" s="643" t="s">
        <v>703</v>
      </c>
      <c r="M14" s="641" t="s">
        <v>704</v>
      </c>
    </row>
    <row r="15" spans="1:14" ht="18.350000000000001">
      <c r="I15" s="320" t="s">
        <v>83</v>
      </c>
      <c r="J15" s="644">
        <f>J9</f>
        <v>0</v>
      </c>
      <c r="K15" s="644">
        <f>J9</f>
        <v>0</v>
      </c>
      <c r="L15" s="644">
        <f>J9</f>
        <v>0</v>
      </c>
      <c r="M15" s="640" t="s">
        <v>705</v>
      </c>
    </row>
    <row r="16" spans="1:14" ht="17.7">
      <c r="I16" s="238" t="s">
        <v>84</v>
      </c>
      <c r="J16" s="650">
        <f>'Retirement Silver $300 Joint'!M15</f>
        <v>92047.319999999992</v>
      </c>
      <c r="K16" s="379">
        <f>'Retirement Silver Her Survival'!M29</f>
        <v>83465.149999999994</v>
      </c>
      <c r="L16" s="241">
        <f>'Retirement Silver His Survival'!M32</f>
        <v>83465.149999999994</v>
      </c>
      <c r="M16" s="651">
        <f>'Retirement Silver $300 Joint'!N15</f>
        <v>8385.3700000000008</v>
      </c>
    </row>
    <row r="17" spans="9:14" ht="18.350000000000001">
      <c r="I17" s="634" t="s">
        <v>96</v>
      </c>
      <c r="J17" s="645">
        <f>J15-J16</f>
        <v>-92047.319999999992</v>
      </c>
      <c r="K17" s="646">
        <f>K15-K16</f>
        <v>-83465.149999999994</v>
      </c>
      <c r="L17" s="646">
        <f>L15-L16</f>
        <v>-83465.149999999994</v>
      </c>
      <c r="M17" s="288"/>
    </row>
    <row r="18" spans="9:14" ht="14.4">
      <c r="I18" s="2022"/>
      <c r="J18" s="2022"/>
      <c r="K18" s="2022"/>
      <c r="L18" s="2022"/>
      <c r="M18" s="2022"/>
    </row>
    <row r="19" spans="9:14" ht="20.3">
      <c r="I19" s="2020" t="s">
        <v>771</v>
      </c>
      <c r="J19" s="2020"/>
      <c r="K19" s="2020"/>
      <c r="L19" s="2020"/>
      <c r="M19" s="652"/>
    </row>
    <row r="20" spans="9:14" ht="20.3">
      <c r="I20" s="633"/>
      <c r="J20" s="641" t="s">
        <v>701</v>
      </c>
      <c r="K20" s="642" t="s">
        <v>702</v>
      </c>
      <c r="L20" s="643" t="s">
        <v>703</v>
      </c>
      <c r="M20" s="641" t="s">
        <v>704</v>
      </c>
    </row>
    <row r="21" spans="9:14" ht="18" customHeight="1">
      <c r="I21" s="320" t="s">
        <v>83</v>
      </c>
      <c r="J21" s="644">
        <f>J15</f>
        <v>0</v>
      </c>
      <c r="K21" s="644">
        <f>J15</f>
        <v>0</v>
      </c>
      <c r="L21" s="644">
        <f>J15</f>
        <v>0</v>
      </c>
      <c r="M21" s="640" t="s">
        <v>705</v>
      </c>
    </row>
    <row r="22" spans="9:14" ht="17.7">
      <c r="I22" s="238" t="s">
        <v>84</v>
      </c>
      <c r="J22" s="650">
        <f>'Retirement Silver $300 Joint'!M19</f>
        <v>99449.15</v>
      </c>
      <c r="K22" s="379">
        <f>'Retirement Silver Her Survival'!M29</f>
        <v>83465.149999999994</v>
      </c>
      <c r="L22" s="241">
        <f>'Retirement Silver His Survival'!M32</f>
        <v>83465.149999999994</v>
      </c>
      <c r="M22" s="651">
        <f>'Retirement Silver $300 Joint'!N19</f>
        <v>11102.75</v>
      </c>
    </row>
    <row r="23" spans="9:14" ht="18.350000000000001">
      <c r="I23" s="634" t="s">
        <v>96</v>
      </c>
      <c r="J23" s="645">
        <f>J21-J22</f>
        <v>-99449.15</v>
      </c>
      <c r="K23" s="646">
        <f>K21-K22</f>
        <v>-83465.149999999994</v>
      </c>
      <c r="L23" s="646">
        <f>L21-L22</f>
        <v>-83465.149999999994</v>
      </c>
      <c r="M23" s="262"/>
    </row>
    <row r="24" spans="9:14" ht="15.05">
      <c r="I24" s="2012"/>
      <c r="J24" s="2012"/>
      <c r="K24" s="2012"/>
      <c r="L24" s="2012"/>
      <c r="M24" s="2012"/>
    </row>
    <row r="25" spans="9:14" ht="18.649999999999999" customHeight="1">
      <c r="I25" s="2024"/>
      <c r="J25" s="2024"/>
      <c r="K25" s="2024"/>
      <c r="L25" s="2024"/>
      <c r="M25" s="2024"/>
    </row>
    <row r="26" spans="9:14" ht="15.05" customHeight="1">
      <c r="I26" s="1729" t="s">
        <v>709</v>
      </c>
      <c r="J26" s="1729"/>
      <c r="K26" s="1729"/>
      <c r="L26" s="1729"/>
      <c r="M26" s="1729"/>
      <c r="N26" s="89"/>
    </row>
    <row r="27" spans="9:14" ht="18" customHeight="1">
      <c r="I27" s="2025"/>
      <c r="J27" s="2025"/>
      <c r="K27" s="2025"/>
      <c r="L27" s="2025"/>
      <c r="M27" s="2025"/>
    </row>
    <row r="28" spans="9:14" ht="17.55" customHeight="1">
      <c r="I28" s="2023" t="s">
        <v>794</v>
      </c>
      <c r="J28" s="2023"/>
      <c r="K28" s="2023"/>
      <c r="L28" s="2023"/>
      <c r="M28" s="2023"/>
    </row>
    <row r="29" spans="9:14" ht="18" customHeight="1">
      <c r="I29" s="2023" t="s">
        <v>795</v>
      </c>
      <c r="J29" s="2023"/>
      <c r="K29" s="2023"/>
      <c r="L29" s="2023"/>
      <c r="M29" s="2023"/>
    </row>
    <row r="30" spans="9:14" ht="18.649999999999999" customHeight="1">
      <c r="I30" s="2023" t="s">
        <v>712</v>
      </c>
      <c r="J30" s="2023"/>
      <c r="K30" s="2023"/>
      <c r="L30" s="2023"/>
      <c r="M30" s="2023"/>
    </row>
    <row r="31" spans="9:14" ht="18.649999999999999" customHeight="1">
      <c r="I31" s="2094"/>
      <c r="J31" s="2094"/>
      <c r="K31" s="2094"/>
      <c r="L31" s="2094"/>
      <c r="M31" s="2094"/>
    </row>
    <row r="32" spans="9:14">
      <c r="I32" s="262"/>
      <c r="J32" s="262"/>
      <c r="K32" s="262"/>
      <c r="L32" s="262"/>
      <c r="M32" s="262"/>
    </row>
    <row r="33" spans="9:13" ht="15.05">
      <c r="I33" s="1575"/>
      <c r="J33" s="1575"/>
      <c r="K33" s="1575"/>
      <c r="L33" s="1575"/>
      <c r="M33" s="1575"/>
    </row>
    <row r="34" spans="9:13">
      <c r="M34"/>
    </row>
    <row r="35" spans="9:13">
      <c r="M35"/>
    </row>
    <row r="36" spans="9:13">
      <c r="M36"/>
    </row>
    <row r="37" spans="9:13">
      <c r="M37"/>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ht="15.05">
      <c r="A50" s="281"/>
      <c r="B50" s="281"/>
      <c r="C50" s="281"/>
      <c r="D50" s="281"/>
      <c r="E50" s="281"/>
      <c r="M50"/>
    </row>
    <row r="51" spans="1:13" ht="15.05">
      <c r="A51" s="282"/>
      <c r="B51" s="282"/>
      <c r="C51" s="282"/>
      <c r="D51" s="282"/>
      <c r="E51" s="282"/>
      <c r="M51"/>
    </row>
    <row r="52" spans="1:13" ht="15.05">
      <c r="A52" s="282"/>
      <c r="B52" s="282"/>
      <c r="C52" s="282"/>
      <c r="D52" s="282"/>
      <c r="E52" s="282"/>
      <c r="M52"/>
    </row>
    <row r="53" spans="1:13" ht="15.05">
      <c r="A53" s="282"/>
      <c r="B53" s="282"/>
      <c r="C53" s="282"/>
      <c r="D53" s="282"/>
      <c r="E53" s="282"/>
      <c r="M53"/>
    </row>
    <row r="54" spans="1:13">
      <c r="M54"/>
    </row>
    <row r="55" spans="1:13">
      <c r="M55"/>
    </row>
    <row r="56" spans="1:13">
      <c r="M56"/>
    </row>
    <row r="57" spans="1:13">
      <c r="M57"/>
    </row>
    <row r="58" spans="1:13">
      <c r="M58"/>
    </row>
    <row r="59" spans="1:13">
      <c r="M59"/>
    </row>
    <row r="60" spans="1:13">
      <c r="M60"/>
    </row>
    <row r="61" spans="1:13">
      <c r="M61"/>
    </row>
    <row r="62" spans="1:13">
      <c r="M62"/>
    </row>
    <row r="63" spans="1:13">
      <c r="M63"/>
    </row>
    <row r="64" spans="1:13">
      <c r="M64"/>
    </row>
    <row r="65" spans="1:13">
      <c r="M65"/>
    </row>
    <row r="66" spans="1:13">
      <c r="M66"/>
    </row>
    <row r="67" spans="1:13">
      <c r="A67" s="89" t="s">
        <v>99</v>
      </c>
      <c r="M67"/>
    </row>
    <row r="68" spans="1:13">
      <c r="M68"/>
    </row>
    <row r="69" spans="1:13">
      <c r="M69"/>
    </row>
    <row r="70" spans="1:13">
      <c r="M70"/>
    </row>
    <row r="71" spans="1:13">
      <c r="M71"/>
    </row>
    <row r="72" spans="1:13">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sheetData>
  <mergeCells count="20">
    <mergeCell ref="I6:M6"/>
    <mergeCell ref="I26:M26"/>
    <mergeCell ref="I27:M27"/>
    <mergeCell ref="I24:M24"/>
    <mergeCell ref="D1:N1"/>
    <mergeCell ref="D2:M2"/>
    <mergeCell ref="D3:I3"/>
    <mergeCell ref="I4:M4"/>
    <mergeCell ref="I5:M5"/>
    <mergeCell ref="I31:M31"/>
    <mergeCell ref="I33:M33"/>
    <mergeCell ref="I7:L7"/>
    <mergeCell ref="I12:M12"/>
    <mergeCell ref="I13:L13"/>
    <mergeCell ref="I18:M18"/>
    <mergeCell ref="I19:L19"/>
    <mergeCell ref="I29:M29"/>
    <mergeCell ref="I30:M30"/>
    <mergeCell ref="I25:M25"/>
    <mergeCell ref="I28:M2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showGridLines="0" workbookViewId="0"/>
  </sheetViews>
  <sheetFormatPr defaultRowHeight="12.4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tint="-0.249977111117893"/>
  </sheetPr>
  <dimension ref="A1:N298"/>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72</v>
      </c>
      <c r="B1" s="452" t="s">
        <v>73</v>
      </c>
      <c r="C1" s="133" t="s">
        <v>74</v>
      </c>
      <c r="D1" s="2095" t="s">
        <v>796</v>
      </c>
      <c r="E1" s="2096"/>
      <c r="F1" s="2096"/>
      <c r="G1" s="2096"/>
      <c r="H1" s="2096"/>
      <c r="I1" s="2096"/>
      <c r="J1" s="2096"/>
      <c r="K1" s="2096"/>
      <c r="L1" s="2096"/>
      <c r="M1" s="2096"/>
      <c r="N1" s="2096"/>
    </row>
    <row r="2" spans="1:14" ht="18.350000000000001">
      <c r="A2" s="296">
        <f>'Egan Asset Summary'!O18</f>
        <v>321628.61</v>
      </c>
      <c r="B2" s="453">
        <v>300000</v>
      </c>
      <c r="C2" s="297" t="e">
        <f>#REF!</f>
        <v>#REF!</v>
      </c>
      <c r="D2" s="2097"/>
      <c r="E2" s="2097"/>
      <c r="F2" s="2097"/>
      <c r="G2" s="2097"/>
      <c r="H2" s="2097"/>
      <c r="I2" s="2097"/>
      <c r="J2" s="2097"/>
      <c r="K2" s="2097"/>
      <c r="L2" s="2097"/>
      <c r="M2" s="2097"/>
      <c r="N2" s="653"/>
    </row>
    <row r="3" spans="1:14" ht="26.2">
      <c r="A3" s="34"/>
      <c r="B3" s="454"/>
      <c r="C3" s="35"/>
      <c r="D3" s="2098" t="s">
        <v>697</v>
      </c>
      <c r="E3" s="2099"/>
      <c r="F3" s="2099"/>
      <c r="G3" s="2099"/>
      <c r="H3" s="2099"/>
      <c r="I3" s="2099"/>
      <c r="J3" s="648">
        <f>'Egan Asset Summary'!O3</f>
        <v>0</v>
      </c>
      <c r="K3" s="653"/>
      <c r="L3" s="657" t="s">
        <v>797</v>
      </c>
      <c r="M3" s="657" t="s">
        <v>791</v>
      </c>
      <c r="N3" s="657" t="s">
        <v>767</v>
      </c>
    </row>
    <row r="4" spans="1:14" ht="14.4">
      <c r="A4" s="34"/>
      <c r="B4" s="118"/>
      <c r="C4" s="35"/>
      <c r="D4" s="75"/>
      <c r="E4" s="75"/>
      <c r="F4" s="75"/>
      <c r="G4" s="75"/>
      <c r="I4" s="1589"/>
      <c r="J4" s="1590"/>
      <c r="K4" s="1590"/>
      <c r="L4" s="1590"/>
      <c r="M4" s="1590"/>
    </row>
    <row r="5" spans="1:14" ht="20.3">
      <c r="A5" s="34"/>
      <c r="B5" s="118"/>
      <c r="C5" s="35"/>
      <c r="D5" s="75"/>
      <c r="E5" s="75"/>
      <c r="F5" s="75"/>
      <c r="G5" s="75"/>
      <c r="I5" s="1576" t="s">
        <v>698</v>
      </c>
      <c r="J5" s="1576"/>
      <c r="K5" s="1576"/>
      <c r="L5" s="1576"/>
      <c r="M5" s="1576"/>
    </row>
    <row r="6" spans="1:14" ht="30.8">
      <c r="I6" s="2018" t="s">
        <v>792</v>
      </c>
      <c r="J6" s="2019"/>
      <c r="K6" s="2019"/>
      <c r="L6" s="2019"/>
      <c r="M6" s="2019"/>
    </row>
    <row r="7" spans="1:14" ht="20.3">
      <c r="I7" s="2020" t="s">
        <v>768</v>
      </c>
      <c r="J7" s="2020"/>
      <c r="K7" s="2020"/>
      <c r="L7" s="2020"/>
      <c r="M7" s="118"/>
    </row>
    <row r="8" spans="1:14" ht="20.3">
      <c r="I8" s="636"/>
      <c r="J8" s="641" t="s">
        <v>701</v>
      </c>
      <c r="K8" s="642" t="s">
        <v>702</v>
      </c>
      <c r="L8" s="643" t="s">
        <v>703</v>
      </c>
      <c r="M8" s="641" t="s">
        <v>704</v>
      </c>
    </row>
    <row r="9" spans="1:14" ht="18.350000000000001">
      <c r="I9" s="320" t="s">
        <v>83</v>
      </c>
      <c r="J9" s="644">
        <f>J3</f>
        <v>0</v>
      </c>
      <c r="K9" s="644">
        <f>J3</f>
        <v>0</v>
      </c>
      <c r="L9" s="644">
        <f>J3</f>
        <v>0</v>
      </c>
      <c r="M9" s="640" t="s">
        <v>705</v>
      </c>
    </row>
    <row r="10" spans="1:14" ht="17.7">
      <c r="I10" s="238" t="s">
        <v>84</v>
      </c>
      <c r="J10" s="649">
        <f>'FOUNDATION Silver $300 Joint'!M13</f>
        <v>56151.270000000004</v>
      </c>
      <c r="K10" s="379" t="e">
        <f>'[12]FOUNDATION Silver Her Surv  '!M29</f>
        <v>#REF!</v>
      </c>
      <c r="L10" s="241" t="e">
        <f>'[13]FOUNDATION Silver His Surv  '!M32</f>
        <v>#REF!</v>
      </c>
      <c r="M10" s="651" t="e">
        <f>'[13]FOUNDATION Silver His Surv  '!N13</f>
        <v>#REF!</v>
      </c>
    </row>
    <row r="11" spans="1:14" ht="18.350000000000001">
      <c r="I11" s="634" t="s">
        <v>96</v>
      </c>
      <c r="J11" s="655">
        <f>J9-J10</f>
        <v>-56151.270000000004</v>
      </c>
      <c r="K11" s="646" t="e">
        <f>K9-K10</f>
        <v>#REF!</v>
      </c>
      <c r="L11" s="646" t="e">
        <f>L9-L10</f>
        <v>#REF!</v>
      </c>
      <c r="M11" s="286"/>
    </row>
    <row r="12" spans="1:14" ht="15.75">
      <c r="I12" s="2021"/>
      <c r="J12" s="2021"/>
      <c r="K12" s="2021"/>
      <c r="L12" s="2021"/>
      <c r="M12" s="2021"/>
    </row>
    <row r="13" spans="1:14" ht="20.3">
      <c r="I13" s="2020" t="s">
        <v>793</v>
      </c>
      <c r="J13" s="2020"/>
      <c r="K13" s="2020"/>
      <c r="L13" s="2020"/>
      <c r="M13" s="652"/>
    </row>
    <row r="14" spans="1:14" ht="20.3">
      <c r="I14" s="633"/>
      <c r="J14" s="641" t="s">
        <v>701</v>
      </c>
      <c r="K14" s="642" t="s">
        <v>702</v>
      </c>
      <c r="L14" s="643" t="s">
        <v>703</v>
      </c>
      <c r="M14" s="641" t="s">
        <v>704</v>
      </c>
    </row>
    <row r="15" spans="1:14" ht="18.350000000000001">
      <c r="I15" s="320" t="s">
        <v>83</v>
      </c>
      <c r="J15" s="644">
        <f>J9</f>
        <v>0</v>
      </c>
      <c r="K15" s="644">
        <f>J9</f>
        <v>0</v>
      </c>
      <c r="L15" s="644">
        <f>J9</f>
        <v>0</v>
      </c>
      <c r="M15" s="640" t="s">
        <v>705</v>
      </c>
    </row>
    <row r="16" spans="1:14" ht="17.7">
      <c r="I16" s="238" t="s">
        <v>84</v>
      </c>
      <c r="J16" s="650">
        <f>'FOUNDATION Silver $300 Joint'!M15</f>
        <v>92813.51</v>
      </c>
      <c r="K16" s="379" t="e">
        <f>K10</f>
        <v>#REF!</v>
      </c>
      <c r="L16" s="241" t="e">
        <f>L10</f>
        <v>#REF!</v>
      </c>
      <c r="M16" s="651" t="e">
        <f>'[13]FOUNDATION Silver His Surv  '!N15</f>
        <v>#REF!</v>
      </c>
    </row>
    <row r="17" spans="9:14" ht="18.350000000000001">
      <c r="I17" s="634" t="s">
        <v>96</v>
      </c>
      <c r="J17" s="645">
        <f>J15-J16</f>
        <v>-92813.51</v>
      </c>
      <c r="K17" s="646" t="e">
        <f>K15-K16</f>
        <v>#REF!</v>
      </c>
      <c r="L17" s="646" t="e">
        <f>L15-L16</f>
        <v>#REF!</v>
      </c>
      <c r="M17" s="288"/>
    </row>
    <row r="18" spans="9:14" ht="14.4">
      <c r="I18" s="2022"/>
      <c r="J18" s="2022"/>
      <c r="K18" s="2022"/>
      <c r="L18" s="2022"/>
      <c r="M18" s="2022"/>
    </row>
    <row r="19" spans="9:14" ht="20.3">
      <c r="I19" s="2020" t="s">
        <v>771</v>
      </c>
      <c r="J19" s="2020"/>
      <c r="K19" s="2020"/>
      <c r="L19" s="2020"/>
      <c r="M19" s="652"/>
    </row>
    <row r="20" spans="9:14" ht="20.3">
      <c r="I20" s="633"/>
      <c r="J20" s="641" t="s">
        <v>701</v>
      </c>
      <c r="K20" s="642" t="s">
        <v>702</v>
      </c>
      <c r="L20" s="643" t="s">
        <v>703</v>
      </c>
      <c r="M20" s="641" t="s">
        <v>704</v>
      </c>
    </row>
    <row r="21" spans="9:14" ht="18" customHeight="1">
      <c r="I21" s="320" t="s">
        <v>83</v>
      </c>
      <c r="J21" s="644">
        <f>J15</f>
        <v>0</v>
      </c>
      <c r="K21" s="644">
        <f>J15</f>
        <v>0</v>
      </c>
      <c r="L21" s="644">
        <f>J15</f>
        <v>0</v>
      </c>
      <c r="M21" s="640" t="s">
        <v>705</v>
      </c>
    </row>
    <row r="22" spans="9:14" ht="17.7">
      <c r="I22" s="238" t="s">
        <v>84</v>
      </c>
      <c r="J22" s="650">
        <f>'FOUNDATION Silver $300 Joint'!M19</f>
        <v>100491.82999999999</v>
      </c>
      <c r="K22" s="379" t="e">
        <f>K16</f>
        <v>#REF!</v>
      </c>
      <c r="L22" s="241" t="e">
        <f>L16</f>
        <v>#REF!</v>
      </c>
      <c r="M22" s="651" t="e">
        <f>'[13]FOUNDATION Silver His Surv  '!N19</f>
        <v>#REF!</v>
      </c>
    </row>
    <row r="23" spans="9:14" ht="18.350000000000001">
      <c r="I23" s="634" t="s">
        <v>96</v>
      </c>
      <c r="J23" s="645">
        <f>J21-J22</f>
        <v>-100491.82999999999</v>
      </c>
      <c r="K23" s="646" t="e">
        <f>K21-K22</f>
        <v>#REF!</v>
      </c>
      <c r="L23" s="646" t="e">
        <f>L21-L22</f>
        <v>#REF!</v>
      </c>
      <c r="M23" s="262"/>
    </row>
    <row r="24" spans="9:14" ht="15.05">
      <c r="I24" s="2012"/>
      <c r="J24" s="2012"/>
      <c r="K24" s="2012"/>
      <c r="L24" s="2012"/>
      <c r="M24" s="2012"/>
    </row>
    <row r="25" spans="9:14" ht="18.649999999999999" customHeight="1">
      <c r="I25" s="2024"/>
      <c r="J25" s="2024"/>
      <c r="K25" s="2024"/>
      <c r="L25" s="2024"/>
      <c r="M25" s="2024"/>
    </row>
    <row r="26" spans="9:14" ht="15.05" customHeight="1">
      <c r="I26" s="1729" t="s">
        <v>709</v>
      </c>
      <c r="J26" s="1729"/>
      <c r="K26" s="1729"/>
      <c r="L26" s="1729"/>
      <c r="M26" s="1729"/>
      <c r="N26" s="89"/>
    </row>
    <row r="27" spans="9:14" ht="18" customHeight="1">
      <c r="I27" s="2025"/>
      <c r="J27" s="2025"/>
      <c r="K27" s="2025"/>
      <c r="L27" s="2025"/>
      <c r="M27" s="2025"/>
    </row>
    <row r="28" spans="9:14" ht="17.55" customHeight="1">
      <c r="I28" s="2023" t="s">
        <v>794</v>
      </c>
      <c r="J28" s="2023"/>
      <c r="K28" s="2023"/>
      <c r="L28" s="2023"/>
      <c r="M28" s="2023"/>
    </row>
    <row r="29" spans="9:14" ht="18" customHeight="1">
      <c r="I29" s="2023" t="s">
        <v>795</v>
      </c>
      <c r="J29" s="2023"/>
      <c r="K29" s="2023"/>
      <c r="L29" s="2023"/>
      <c r="M29" s="2023"/>
    </row>
    <row r="30" spans="9:14" ht="18.649999999999999" customHeight="1">
      <c r="I30" s="2023" t="s">
        <v>712</v>
      </c>
      <c r="J30" s="2023"/>
      <c r="K30" s="2023"/>
      <c r="L30" s="2023"/>
      <c r="M30" s="2023"/>
    </row>
    <row r="31" spans="9:14" ht="18.649999999999999" customHeight="1">
      <c r="I31" s="2094"/>
      <c r="J31" s="2094"/>
      <c r="K31" s="2094"/>
      <c r="L31" s="2094"/>
      <c r="M31" s="2094"/>
    </row>
    <row r="32" spans="9:14">
      <c r="I32" s="262"/>
      <c r="J32" s="262"/>
      <c r="K32" s="262"/>
      <c r="L32" s="262"/>
      <c r="M32" s="262"/>
    </row>
    <row r="33" spans="9:13" ht="15.05">
      <c r="I33" s="1575"/>
      <c r="J33" s="1575"/>
      <c r="K33" s="1575"/>
      <c r="L33" s="1575"/>
      <c r="M33" s="1575"/>
    </row>
    <row r="34" spans="9:13">
      <c r="M34"/>
    </row>
    <row r="35" spans="9:13">
      <c r="M35"/>
    </row>
    <row r="36" spans="9:13">
      <c r="M36"/>
    </row>
    <row r="37" spans="9:13">
      <c r="M37"/>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ht="15.05">
      <c r="A50" s="281"/>
      <c r="B50" s="281"/>
      <c r="C50" s="281"/>
      <c r="D50" s="281"/>
      <c r="E50" s="281"/>
      <c r="M50"/>
    </row>
    <row r="51" spans="1:13" ht="15.05">
      <c r="A51" s="282"/>
      <c r="B51" s="282"/>
      <c r="C51" s="282"/>
      <c r="D51" s="282"/>
      <c r="E51" s="282"/>
      <c r="M51"/>
    </row>
    <row r="52" spans="1:13" ht="15.05">
      <c r="A52" s="282"/>
      <c r="B52" s="282"/>
      <c r="C52" s="282"/>
      <c r="D52" s="282"/>
      <c r="E52" s="282"/>
      <c r="M52"/>
    </row>
    <row r="53" spans="1:13" ht="15.05">
      <c r="A53" s="282"/>
      <c r="B53" s="282"/>
      <c r="C53" s="282"/>
      <c r="D53" s="282"/>
      <c r="E53" s="282"/>
      <c r="M53"/>
    </row>
    <row r="54" spans="1:13">
      <c r="M54"/>
    </row>
    <row r="55" spans="1:13">
      <c r="M55"/>
    </row>
    <row r="56" spans="1:13">
      <c r="M56"/>
    </row>
    <row r="57" spans="1:13">
      <c r="M57"/>
    </row>
    <row r="58" spans="1:13">
      <c r="M58"/>
    </row>
    <row r="59" spans="1:13">
      <c r="M59"/>
    </row>
    <row r="60" spans="1:13">
      <c r="M60"/>
    </row>
    <row r="61" spans="1:13">
      <c r="M61"/>
    </row>
    <row r="62" spans="1:13">
      <c r="M62"/>
    </row>
    <row r="63" spans="1:13">
      <c r="M63"/>
    </row>
    <row r="64" spans="1:13">
      <c r="M64"/>
    </row>
    <row r="65" spans="1:13">
      <c r="M65"/>
    </row>
    <row r="66" spans="1:13">
      <c r="M66"/>
    </row>
    <row r="67" spans="1:13">
      <c r="A67" s="89" t="s">
        <v>99</v>
      </c>
      <c r="M67"/>
    </row>
    <row r="68" spans="1:13">
      <c r="M68"/>
    </row>
    <row r="69" spans="1:13">
      <c r="M69"/>
    </row>
    <row r="70" spans="1:13">
      <c r="M70"/>
    </row>
    <row r="71" spans="1:13">
      <c r="M71"/>
    </row>
    <row r="72" spans="1:13">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sheetData>
  <mergeCells count="20">
    <mergeCell ref="I31:M31"/>
    <mergeCell ref="I33:M33"/>
    <mergeCell ref="I25:M25"/>
    <mergeCell ref="I26:M26"/>
    <mergeCell ref="I27:M27"/>
    <mergeCell ref="I28:M28"/>
    <mergeCell ref="I29:M29"/>
    <mergeCell ref="I30:M30"/>
    <mergeCell ref="I24:M24"/>
    <mergeCell ref="D1:N1"/>
    <mergeCell ref="D2:M2"/>
    <mergeCell ref="D3:I3"/>
    <mergeCell ref="I4:M4"/>
    <mergeCell ref="I5:M5"/>
    <mergeCell ref="I6:M6"/>
    <mergeCell ref="I7:L7"/>
    <mergeCell ref="I12:M12"/>
    <mergeCell ref="I13:L13"/>
    <mergeCell ref="I18:M18"/>
    <mergeCell ref="I19:L19"/>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tint="-0.14999847407452621"/>
  </sheetPr>
  <dimension ref="A1"/>
  <sheetViews>
    <sheetView showGridLines="0" workbookViewId="0"/>
  </sheetViews>
  <sheetFormatPr defaultColWidth="9.125" defaultRowHeight="12.45"/>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14999847407452621"/>
  </sheetPr>
  <dimension ref="A1:W71"/>
  <sheetViews>
    <sheetView showGridLines="0" workbookViewId="0"/>
  </sheetViews>
  <sheetFormatPr defaultColWidth="9.125" defaultRowHeight="12.45"/>
  <cols>
    <col min="1" max="3" width="17.625" customWidth="1"/>
    <col min="4" max="4" width="9.125" style="156"/>
    <col min="10" max="10" width="22" customWidth="1"/>
    <col min="11" max="11" width="18" customWidth="1"/>
    <col min="12" max="12" width="22" customWidth="1"/>
    <col min="13" max="13" width="16.25" style="156" customWidth="1"/>
    <col min="14" max="23" width="9.125" style="156"/>
  </cols>
  <sheetData>
    <row r="1" spans="1:14" ht="24.25">
      <c r="A1" s="135" t="s">
        <v>72</v>
      </c>
      <c r="B1" s="134" t="s">
        <v>73</v>
      </c>
      <c r="C1" s="133" t="s">
        <v>74</v>
      </c>
      <c r="D1" s="2100" t="s">
        <v>798</v>
      </c>
      <c r="E1" s="2101"/>
      <c r="F1" s="2101"/>
      <c r="G1" s="2101"/>
      <c r="H1" s="2101"/>
      <c r="I1" s="2101"/>
      <c r="J1" s="2101"/>
      <c r="K1" s="2101"/>
      <c r="L1" s="2101"/>
      <c r="M1" s="2101"/>
      <c r="N1" s="2101"/>
    </row>
    <row r="2" spans="1:14" ht="18.350000000000001">
      <c r="A2" s="296">
        <f>'RG Gold Plan Recap'!A2</f>
        <v>321628.61</v>
      </c>
      <c r="B2" s="298">
        <v>300000</v>
      </c>
      <c r="C2" s="297" t="e">
        <f>'RG Gold Plan Recap'!C2</f>
        <v>#REF!</v>
      </c>
      <c r="D2" s="2107"/>
      <c r="E2" s="2107"/>
      <c r="F2" s="2107"/>
      <c r="G2" s="2107"/>
      <c r="H2" s="2107"/>
      <c r="I2" s="2107"/>
      <c r="J2" s="2107"/>
      <c r="K2" s="2107"/>
      <c r="L2" s="2107"/>
      <c r="M2" s="2107"/>
    </row>
    <row r="3" spans="1:14" ht="26.2">
      <c r="A3" s="34"/>
      <c r="B3" s="118"/>
      <c r="C3" s="35"/>
      <c r="D3" s="2108" t="s">
        <v>697</v>
      </c>
      <c r="E3" s="2109"/>
      <c r="F3" s="2109"/>
      <c r="G3" s="2109"/>
      <c r="H3" s="2109"/>
      <c r="I3" s="2109"/>
      <c r="J3" s="227">
        <f>'Egan Asset Summary'!O3</f>
        <v>0</v>
      </c>
      <c r="K3" s="156"/>
      <c r="L3" s="156"/>
    </row>
    <row r="4" spans="1:14" ht="14.4">
      <c r="A4" s="34"/>
      <c r="B4" s="118"/>
      <c r="C4" s="35"/>
      <c r="E4" s="75"/>
      <c r="F4" s="75"/>
      <c r="G4" s="75"/>
      <c r="I4" s="2110"/>
      <c r="J4" s="2111"/>
      <c r="K4" s="2111"/>
      <c r="L4" s="2111"/>
      <c r="M4" s="2111"/>
    </row>
    <row r="5" spans="1:14" ht="18.350000000000001">
      <c r="A5" s="34"/>
      <c r="B5" s="118"/>
      <c r="C5" s="35"/>
      <c r="E5" s="75"/>
      <c r="F5" s="75"/>
      <c r="G5" s="75"/>
      <c r="I5" s="2112"/>
      <c r="J5" s="2113"/>
      <c r="K5" s="2113"/>
      <c r="L5" s="2113"/>
      <c r="M5" s="2113"/>
    </row>
    <row r="6" spans="1:14">
      <c r="I6" s="2044"/>
      <c r="J6" s="2044"/>
      <c r="K6" s="2044"/>
      <c r="L6" s="2044"/>
      <c r="M6" s="2044"/>
    </row>
    <row r="7" spans="1:14" ht="24.25">
      <c r="I7" s="2106" t="s">
        <v>799</v>
      </c>
      <c r="J7" s="2106"/>
      <c r="K7" s="2106"/>
      <c r="L7" s="2106"/>
      <c r="M7" s="623" t="s">
        <v>92</v>
      </c>
    </row>
    <row r="8" spans="1:14" ht="20.3">
      <c r="I8" s="361"/>
      <c r="J8" s="231" t="s">
        <v>145</v>
      </c>
      <c r="K8" s="232" t="s">
        <v>785</v>
      </c>
      <c r="L8" s="348" t="s">
        <v>786</v>
      </c>
      <c r="M8" s="624"/>
    </row>
    <row r="9" spans="1:14" ht="18.350000000000001">
      <c r="I9" s="320" t="s">
        <v>800</v>
      </c>
      <c r="J9" s="236">
        <f>J3</f>
        <v>0</v>
      </c>
      <c r="K9" s="236">
        <f>J3</f>
        <v>0</v>
      </c>
      <c r="L9" s="236">
        <f>J3</f>
        <v>0</v>
      </c>
      <c r="M9" s="625"/>
    </row>
    <row r="10" spans="1:14" ht="17.7">
      <c r="I10" s="238" t="s">
        <v>84</v>
      </c>
      <c r="J10" s="621">
        <f>'Retirement Silver $300 Joint'!M13</f>
        <v>55821.07</v>
      </c>
      <c r="K10" s="379">
        <f>'Retirement Silver Her Survival'!M29</f>
        <v>83465.149999999994</v>
      </c>
      <c r="L10" s="622">
        <f>'Retirement Silver His Survival'!M32</f>
        <v>83465.149999999994</v>
      </c>
      <c r="M10" s="485">
        <v>36404.639999999999</v>
      </c>
    </row>
    <row r="11" spans="1:14" ht="18.350000000000001">
      <c r="I11" s="618" t="s">
        <v>96</v>
      </c>
      <c r="J11" s="619">
        <f>J9-J10</f>
        <v>-55821.07</v>
      </c>
      <c r="K11" s="620">
        <f>K9-K10</f>
        <v>-83465.149999999994</v>
      </c>
      <c r="L11" s="620">
        <f>L9-L10</f>
        <v>-83465.149999999994</v>
      </c>
      <c r="M11" s="626"/>
    </row>
    <row r="12" spans="1:14" ht="15.75">
      <c r="I12" s="2104"/>
      <c r="J12" s="2104"/>
      <c r="K12" s="2104"/>
      <c r="L12" s="2104"/>
      <c r="M12" s="2104"/>
    </row>
    <row r="13" spans="1:14" ht="20.3">
      <c r="I13" s="2105" t="s">
        <v>801</v>
      </c>
      <c r="J13" s="2105"/>
      <c r="K13" s="2105"/>
      <c r="L13" s="2105"/>
      <c r="M13" s="386" t="s">
        <v>87</v>
      </c>
    </row>
    <row r="14" spans="1:14" ht="20.3">
      <c r="I14" s="355"/>
      <c r="J14" s="231" t="s">
        <v>145</v>
      </c>
      <c r="K14" s="232" t="s">
        <v>785</v>
      </c>
      <c r="L14" s="348" t="s">
        <v>786</v>
      </c>
      <c r="M14" s="349"/>
    </row>
    <row r="15" spans="1:14" ht="18.350000000000001">
      <c r="I15" s="320" t="s">
        <v>800</v>
      </c>
      <c r="J15" s="236">
        <f>J3</f>
        <v>0</v>
      </c>
      <c r="K15" s="236">
        <f>J3</f>
        <v>0</v>
      </c>
      <c r="L15" s="236">
        <f>J3</f>
        <v>0</v>
      </c>
      <c r="M15" s="349"/>
    </row>
    <row r="16" spans="1:14" ht="17.7">
      <c r="I16" s="238" t="s">
        <v>84</v>
      </c>
      <c r="J16" s="492" t="e">
        <f>#REF!</f>
        <v>#REF!</v>
      </c>
      <c r="K16" s="379" t="e">
        <f>#REF!</f>
        <v>#REF!</v>
      </c>
      <c r="L16" s="622" t="e">
        <f>#REF!</f>
        <v>#REF!</v>
      </c>
      <c r="M16" s="349"/>
    </row>
    <row r="17" spans="9:14" ht="18.350000000000001">
      <c r="I17" s="265" t="s">
        <v>802</v>
      </c>
      <c r="J17" s="243" t="e">
        <f>J15-J16</f>
        <v>#REF!</v>
      </c>
      <c r="K17" s="261" t="e">
        <f>K15-K16</f>
        <v>#REF!</v>
      </c>
      <c r="L17" s="261" t="e">
        <f>L15-L16</f>
        <v>#REF!</v>
      </c>
      <c r="M17" s="627"/>
    </row>
    <row r="18" spans="9:14" ht="14.25" customHeight="1">
      <c r="I18" s="2044"/>
      <c r="J18" s="2044"/>
      <c r="K18" s="2044"/>
      <c r="L18" s="2044"/>
      <c r="M18" s="2044"/>
    </row>
    <row r="19" spans="9:14" ht="14.25" customHeight="1">
      <c r="I19" s="2044"/>
      <c r="J19" s="2044"/>
      <c r="K19" s="2044"/>
      <c r="L19" s="2044"/>
      <c r="M19" s="226"/>
    </row>
    <row r="20" spans="9:14" ht="24.25">
      <c r="I20" s="2103"/>
      <c r="J20" s="2103"/>
      <c r="K20" s="2103"/>
      <c r="L20" s="2103"/>
    </row>
    <row r="21" spans="9:14" ht="24.25">
      <c r="I21" s="2103"/>
      <c r="J21" s="2103"/>
      <c r="K21" s="2103"/>
      <c r="L21" s="2103"/>
      <c r="M21" s="616"/>
    </row>
    <row r="22" spans="9:14" ht="24.25">
      <c r="I22" s="2103"/>
      <c r="J22" s="2103"/>
      <c r="K22" s="2103"/>
      <c r="L22" s="2103"/>
    </row>
    <row r="23" spans="9:14" ht="24.25">
      <c r="I23" s="2103"/>
      <c r="J23" s="2103"/>
      <c r="K23" s="2103"/>
      <c r="L23" s="2103"/>
      <c r="M23" s="226"/>
    </row>
    <row r="24" spans="9:14" ht="24.25">
      <c r="I24" s="2103"/>
      <c r="J24" s="2103"/>
      <c r="K24" s="2103"/>
      <c r="L24" s="2103"/>
      <c r="M24" s="617"/>
    </row>
    <row r="25" spans="9:14" ht="18.350000000000001">
      <c r="I25" s="2102"/>
      <c r="J25" s="2102"/>
      <c r="K25" s="2102"/>
      <c r="L25" s="2102"/>
      <c r="M25" s="2102"/>
    </row>
    <row r="26" spans="9:14" ht="18.649999999999999" customHeight="1">
      <c r="I26" s="2102"/>
      <c r="J26" s="2102"/>
      <c r="K26" s="2102"/>
      <c r="L26" s="2102"/>
      <c r="M26" s="2102"/>
    </row>
    <row r="27" spans="9:14" ht="15.05" customHeight="1">
      <c r="I27" s="2102"/>
      <c r="J27" s="2102"/>
      <c r="K27" s="2102"/>
      <c r="L27" s="2102"/>
      <c r="M27" s="2102"/>
      <c r="N27" s="211"/>
    </row>
    <row r="28" spans="9:14" ht="13.6" customHeight="1">
      <c r="I28" s="2102"/>
      <c r="J28" s="2102"/>
      <c r="K28" s="2102"/>
      <c r="L28" s="2102"/>
      <c r="M28" s="2102"/>
    </row>
    <row r="29" spans="9:14" ht="18.350000000000001">
      <c r="I29" s="2102"/>
      <c r="J29" s="2102"/>
      <c r="K29" s="2102"/>
      <c r="L29" s="2102"/>
      <c r="M29" s="2102"/>
    </row>
    <row r="30" spans="9:14" ht="18.350000000000001">
      <c r="I30" s="2102"/>
      <c r="J30" s="2102"/>
      <c r="K30" s="2102"/>
      <c r="L30" s="2102"/>
      <c r="M30" s="2102"/>
    </row>
    <row r="31" spans="9:14" ht="18.350000000000001">
      <c r="I31" s="2102"/>
      <c r="J31" s="2102"/>
      <c r="K31" s="2102"/>
      <c r="L31" s="2102"/>
      <c r="M31" s="2102"/>
    </row>
    <row r="32" spans="9:14" ht="18.649999999999999" customHeight="1">
      <c r="I32" s="2102"/>
      <c r="J32" s="2102"/>
      <c r="K32" s="2102"/>
      <c r="L32" s="2102"/>
      <c r="M32" s="2102"/>
    </row>
    <row r="33" spans="9:13" ht="18.649999999999999" customHeight="1">
      <c r="I33" s="2102"/>
      <c r="J33" s="2102"/>
      <c r="K33" s="2102"/>
      <c r="L33" s="2102"/>
      <c r="M33" s="2102"/>
    </row>
    <row r="34" spans="9:13" ht="18.350000000000001">
      <c r="I34" s="2102"/>
      <c r="J34" s="2102"/>
      <c r="K34" s="2102"/>
      <c r="L34" s="2102"/>
      <c r="M34" s="2102"/>
    </row>
    <row r="35" spans="9:13" ht="18.350000000000001">
      <c r="I35" s="2102"/>
      <c r="J35" s="2102"/>
      <c r="K35" s="2102"/>
      <c r="L35" s="2102"/>
      <c r="M35" s="2102"/>
    </row>
    <row r="36" spans="9:13" ht="18.350000000000001">
      <c r="I36" s="2102"/>
      <c r="J36" s="2102"/>
      <c r="K36" s="2102"/>
      <c r="L36" s="2102"/>
      <c r="M36" s="2102"/>
    </row>
    <row r="37" spans="9:13" ht="15.05">
      <c r="I37" s="1575"/>
      <c r="J37" s="1575"/>
      <c r="K37" s="1575"/>
      <c r="L37" s="1575"/>
      <c r="M37" s="1575"/>
    </row>
    <row r="54" spans="1:5" ht="15.05">
      <c r="A54" s="281"/>
      <c r="B54" s="281"/>
      <c r="C54" s="281"/>
      <c r="D54" s="614"/>
      <c r="E54" s="281"/>
    </row>
    <row r="55" spans="1:5" ht="15.05">
      <c r="A55" s="282"/>
      <c r="B55" s="282"/>
      <c r="C55" s="282"/>
      <c r="D55" s="615"/>
      <c r="E55" s="282"/>
    </row>
    <row r="56" spans="1:5" ht="15.05">
      <c r="A56" s="282"/>
      <c r="B56" s="282"/>
      <c r="C56" s="282"/>
      <c r="D56" s="615"/>
      <c r="E56" s="282"/>
    </row>
    <row r="57" spans="1:5" ht="15.05">
      <c r="A57" s="282"/>
      <c r="B57" s="282"/>
      <c r="C57" s="282"/>
      <c r="D57" s="615"/>
      <c r="E57" s="282"/>
    </row>
    <row r="71" spans="1:1">
      <c r="A71" s="89" t="s">
        <v>99</v>
      </c>
    </row>
  </sheetData>
  <mergeCells count="29">
    <mergeCell ref="I5:M5"/>
    <mergeCell ref="I37:M37"/>
    <mergeCell ref="I26:M26"/>
    <mergeCell ref="I27:M27"/>
    <mergeCell ref="I28:M28"/>
    <mergeCell ref="I29:M29"/>
    <mergeCell ref="I30:M30"/>
    <mergeCell ref="I31:M31"/>
    <mergeCell ref="I32:M32"/>
    <mergeCell ref="I33:M33"/>
    <mergeCell ref="I34:M34"/>
    <mergeCell ref="I35:M35"/>
    <mergeCell ref="I36:M36"/>
    <mergeCell ref="D1:N1"/>
    <mergeCell ref="I25:M25"/>
    <mergeCell ref="I21:L21"/>
    <mergeCell ref="I22:L22"/>
    <mergeCell ref="I23:L23"/>
    <mergeCell ref="I24:L24"/>
    <mergeCell ref="I12:M12"/>
    <mergeCell ref="I13:L13"/>
    <mergeCell ref="I18:M18"/>
    <mergeCell ref="I20:L20"/>
    <mergeCell ref="I19:L19"/>
    <mergeCell ref="I7:L7"/>
    <mergeCell ref="I6:M6"/>
    <mergeCell ref="D2:M2"/>
    <mergeCell ref="D3:I3"/>
    <mergeCell ref="I4:M4"/>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000"/>
  </sheetPr>
  <dimension ref="A1"/>
  <sheetViews>
    <sheetView showGridLines="0" workbookViewId="0"/>
  </sheetViews>
  <sheetFormatPr defaultColWidth="9.125" defaultRowHeight="12.45"/>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7" tint="-0.249977111117893"/>
  </sheetPr>
  <dimension ref="A1"/>
  <sheetViews>
    <sheetView showGridLines="0" workbookViewId="0"/>
  </sheetViews>
  <sheetFormatPr defaultColWidth="9.125" defaultRowHeight="12.45"/>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469"/>
      <c r="D1" s="2026"/>
      <c r="E1" s="2026"/>
      <c r="F1" s="2026"/>
      <c r="G1" s="2026"/>
      <c r="H1" s="2026"/>
      <c r="I1" s="2026"/>
      <c r="J1" s="2026"/>
      <c r="K1" s="2026"/>
      <c r="L1" s="2114" t="s">
        <v>713</v>
      </c>
      <c r="M1" s="2114"/>
      <c r="N1" s="465">
        <v>75000</v>
      </c>
    </row>
    <row r="2" spans="1:25" ht="20.3">
      <c r="A2" s="302"/>
      <c r="B2" s="304"/>
      <c r="C2" s="468"/>
      <c r="D2" s="463"/>
      <c r="E2" s="2115" t="str" cm="1">
        <f t="array" ref="E2:K2">'AS with changes'!E3:K3</f>
        <v>William C Ross and Catherine A Ross</v>
      </c>
      <c r="F2" s="2116">
        <v>0</v>
      </c>
      <c r="G2" s="2116">
        <v>0</v>
      </c>
      <c r="H2" s="2116">
        <v>0</v>
      </c>
      <c r="I2" s="2116">
        <v>0</v>
      </c>
      <c r="J2" s="2116">
        <v>0</v>
      </c>
      <c r="K2" s="2116">
        <v>0</v>
      </c>
      <c r="L2" s="464"/>
      <c r="M2" s="463"/>
      <c r="N2" s="466">
        <f>'AS with changes'!G1</f>
        <v>42677</v>
      </c>
    </row>
    <row r="3" spans="1:25" ht="24.05" customHeight="1">
      <c r="A3" s="302"/>
      <c r="B3" s="304"/>
      <c r="C3" s="2117" t="s">
        <v>803</v>
      </c>
      <c r="D3" s="2117"/>
      <c r="E3" s="2117"/>
      <c r="F3" s="2117"/>
      <c r="G3" s="2117"/>
      <c r="H3" s="2117"/>
      <c r="I3" s="2117"/>
      <c r="J3" s="2117"/>
      <c r="K3" s="2117"/>
      <c r="L3" s="2117"/>
      <c r="M3" s="2117"/>
      <c r="N3" s="467">
        <v>75000</v>
      </c>
    </row>
    <row r="4" spans="1:25" ht="19">
      <c r="A4" s="302"/>
      <c r="B4" s="304"/>
      <c r="C4" s="2079" t="s">
        <v>742</v>
      </c>
      <c r="D4" s="2080"/>
      <c r="E4" s="2080"/>
      <c r="F4" s="2080"/>
      <c r="G4" s="2080"/>
      <c r="H4" s="2080"/>
      <c r="I4" s="2080"/>
      <c r="J4" s="2080"/>
      <c r="K4" s="2080"/>
      <c r="L4" s="2080"/>
      <c r="M4" s="2080"/>
      <c r="N4" s="472"/>
    </row>
    <row r="5" spans="1:25" ht="20.3">
      <c r="A5" s="302"/>
      <c r="B5" s="304"/>
      <c r="C5" s="300"/>
      <c r="D5" s="2116" t="s">
        <v>804</v>
      </c>
      <c r="E5" s="2118"/>
      <c r="F5" s="2118"/>
      <c r="G5" s="2118"/>
      <c r="H5" s="2118"/>
      <c r="I5" s="2118"/>
      <c r="J5" s="2118"/>
      <c r="K5" s="2118"/>
      <c r="L5" s="2118"/>
      <c r="M5" s="331">
        <f>'AS with changes'!M4</f>
        <v>19109</v>
      </c>
      <c r="N5" s="335">
        <f>'AS with changes'!O4</f>
        <v>64</v>
      </c>
    </row>
    <row r="6" spans="1:25" ht="15.05">
      <c r="A6" s="302"/>
      <c r="B6" s="304"/>
      <c r="C6" s="300"/>
      <c r="D6" s="2119"/>
      <c r="E6" s="2119"/>
      <c r="F6" s="2119"/>
      <c r="G6" s="2119"/>
      <c r="H6" s="2119"/>
      <c r="I6" s="2119"/>
      <c r="J6" s="2119"/>
      <c r="K6" s="2119"/>
      <c r="L6" s="2119"/>
      <c r="M6" s="439">
        <f>'AS with changes'!M5</f>
        <v>20124</v>
      </c>
      <c r="N6" s="336">
        <f>'AS with changes'!O5</f>
        <v>61</v>
      </c>
    </row>
    <row r="7" spans="1:25">
      <c r="A7" s="305"/>
      <c r="B7" s="304"/>
      <c r="C7" s="300"/>
      <c r="D7" s="2028"/>
      <c r="E7" s="2028"/>
      <c r="F7" s="2028"/>
      <c r="G7" s="2028"/>
      <c r="H7" s="2028"/>
      <c r="I7" s="2028"/>
      <c r="J7" s="2028"/>
      <c r="K7" s="2028"/>
      <c r="L7" s="2028"/>
      <c r="M7" s="378"/>
      <c r="N7" s="442"/>
    </row>
    <row r="8" spans="1:25" s="37" customFormat="1" ht="100" customHeight="1">
      <c r="A8" s="212" t="s">
        <v>26</v>
      </c>
      <c r="B8" s="212" t="s">
        <v>591</v>
      </c>
      <c r="C8" s="212" t="s">
        <v>592</v>
      </c>
      <c r="D8" s="374" t="s">
        <v>383</v>
      </c>
      <c r="E8" s="139" t="s">
        <v>524</v>
      </c>
      <c r="F8" s="136" t="s">
        <v>148</v>
      </c>
      <c r="G8" s="139" t="s">
        <v>154</v>
      </c>
      <c r="H8" s="479" t="s">
        <v>805</v>
      </c>
      <c r="I8" s="478" t="s">
        <v>806</v>
      </c>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810</v>
      </c>
      <c r="I10" s="440" t="s">
        <v>810</v>
      </c>
      <c r="J10" s="217"/>
      <c r="K10" s="217"/>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4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219">
        <v>0</v>
      </c>
      <c r="K14" s="219">
        <v>0</v>
      </c>
      <c r="L14" s="219">
        <v>0</v>
      </c>
      <c r="M14" s="219">
        <v>0</v>
      </c>
      <c r="N14" s="45">
        <f t="shared" si="0"/>
        <v>75595.899999999994</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219">
        <v>0</v>
      </c>
      <c r="K15" s="219">
        <v>0</v>
      </c>
      <c r="L15" s="219">
        <v>0</v>
      </c>
      <c r="M15" s="219">
        <v>0</v>
      </c>
      <c r="N15" s="375">
        <f t="shared" si="0"/>
        <v>75595.899999999994</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219">
        <v>0</v>
      </c>
      <c r="K16" s="219">
        <v>0</v>
      </c>
      <c r="L16" s="219">
        <v>0</v>
      </c>
      <c r="M16" s="219">
        <v>0</v>
      </c>
      <c r="N16" s="45">
        <f t="shared" si="0"/>
        <v>75595.899999999994</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219">
        <v>0</v>
      </c>
      <c r="K17" s="219">
        <v>0</v>
      </c>
      <c r="L17" s="219">
        <v>0</v>
      </c>
      <c r="M17" s="219">
        <v>0</v>
      </c>
      <c r="N17" s="45">
        <f t="shared" si="0"/>
        <v>75595.899999999994</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219">
        <v>0</v>
      </c>
      <c r="K18" s="219">
        <v>0</v>
      </c>
      <c r="L18" s="219">
        <v>0</v>
      </c>
      <c r="M18" s="219">
        <v>0</v>
      </c>
      <c r="N18" s="45">
        <f t="shared" si="0"/>
        <v>75595.899999999994</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219">
        <v>0</v>
      </c>
      <c r="K19" s="219">
        <v>0</v>
      </c>
      <c r="L19" s="219">
        <v>0</v>
      </c>
      <c r="M19" s="219">
        <v>0</v>
      </c>
      <c r="N19" s="45">
        <f t="shared" si="0"/>
        <v>75595.899999999994</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219">
        <v>0</v>
      </c>
      <c r="K20" s="219">
        <v>0</v>
      </c>
      <c r="L20" s="219">
        <v>0</v>
      </c>
      <c r="M20" s="219">
        <v>0</v>
      </c>
      <c r="N20" s="45">
        <f t="shared" si="0"/>
        <v>75595.899999999994</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219">
        <v>0</v>
      </c>
      <c r="K21" s="219">
        <v>0</v>
      </c>
      <c r="L21" s="219">
        <v>0</v>
      </c>
      <c r="M21" s="219">
        <v>0</v>
      </c>
      <c r="N21" s="45">
        <f t="shared" si="0"/>
        <v>75595.899999999994</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219">
        <v>0</v>
      </c>
      <c r="K22" s="219">
        <v>0</v>
      </c>
      <c r="L22" s="219">
        <v>0</v>
      </c>
      <c r="M22" s="219">
        <v>0</v>
      </c>
      <c r="N22" s="45">
        <f t="shared" si="0"/>
        <v>75595.899999999994</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219">
        <v>0</v>
      </c>
      <c r="K23" s="219">
        <v>0</v>
      </c>
      <c r="L23" s="219">
        <v>0</v>
      </c>
      <c r="M23" s="219">
        <v>0</v>
      </c>
      <c r="N23" s="45">
        <f t="shared" si="0"/>
        <v>75595.899999999994</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219">
        <v>0</v>
      </c>
      <c r="K24" s="219">
        <v>0</v>
      </c>
      <c r="L24" s="219">
        <v>0</v>
      </c>
      <c r="M24" s="219">
        <v>0</v>
      </c>
      <c r="N24" s="45">
        <f t="shared" si="0"/>
        <v>75595.899999999994</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219">
        <v>0</v>
      </c>
      <c r="K25" s="219">
        <v>0</v>
      </c>
      <c r="L25" s="219">
        <v>0</v>
      </c>
      <c r="M25" s="219">
        <v>0</v>
      </c>
      <c r="N25" s="45">
        <f t="shared" si="0"/>
        <v>75595.899999999994</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219">
        <v>0</v>
      </c>
      <c r="K26" s="219">
        <v>0</v>
      </c>
      <c r="L26" s="219">
        <v>0</v>
      </c>
      <c r="M26" s="219">
        <v>0</v>
      </c>
      <c r="N26" s="45">
        <f t="shared" si="0"/>
        <v>75595.899999999994</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219">
        <v>0</v>
      </c>
      <c r="K27" s="219">
        <v>0</v>
      </c>
      <c r="L27" s="219">
        <v>0</v>
      </c>
      <c r="M27" s="219">
        <v>0</v>
      </c>
      <c r="N27" s="45">
        <f t="shared" si="0"/>
        <v>75595.899999999994</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219">
        <v>0</v>
      </c>
      <c r="K28" s="219">
        <v>0</v>
      </c>
      <c r="L28" s="219">
        <v>0</v>
      </c>
      <c r="M28" s="219">
        <v>0</v>
      </c>
      <c r="N28" s="356">
        <f t="shared" si="0"/>
        <v>75595.899999999994</v>
      </c>
    </row>
    <row r="29" spans="1:14">
      <c r="A29" s="119">
        <f t="shared" si="2"/>
        <v>2034</v>
      </c>
      <c r="B29" s="150">
        <f t="shared" si="2"/>
        <v>82</v>
      </c>
      <c r="C29" s="119">
        <f t="shared" si="2"/>
        <v>79</v>
      </c>
      <c r="D29" s="338">
        <v>0</v>
      </c>
      <c r="E29" s="339">
        <v>28152</v>
      </c>
      <c r="F29" s="219">
        <v>0</v>
      </c>
      <c r="G29" s="219">
        <v>0</v>
      </c>
      <c r="H29" s="480">
        <v>10071.950000000001</v>
      </c>
      <c r="I29" s="480">
        <v>10071.950000000001</v>
      </c>
      <c r="J29" s="219">
        <v>0</v>
      </c>
      <c r="K29" s="219">
        <v>0</v>
      </c>
      <c r="L29" s="219">
        <v>0</v>
      </c>
      <c r="M29" s="219">
        <v>0</v>
      </c>
      <c r="N29" s="337">
        <f t="shared" si="0"/>
        <v>48295.899999999994</v>
      </c>
    </row>
    <row r="30" spans="1:14">
      <c r="A30" s="119">
        <f t="shared" si="2"/>
        <v>2035</v>
      </c>
      <c r="B30" s="119">
        <f t="shared" si="2"/>
        <v>83</v>
      </c>
      <c r="C30" s="119">
        <f t="shared" si="2"/>
        <v>80</v>
      </c>
      <c r="D30" s="219">
        <v>0</v>
      </c>
      <c r="E30" s="339">
        <v>28152</v>
      </c>
      <c r="F30" s="219">
        <v>0</v>
      </c>
      <c r="G30" s="219">
        <v>0</v>
      </c>
      <c r="H30" s="480">
        <v>10071.950000000001</v>
      </c>
      <c r="I30" s="480">
        <v>10071.950000000001</v>
      </c>
      <c r="J30" s="219">
        <v>0</v>
      </c>
      <c r="K30" s="219">
        <v>0</v>
      </c>
      <c r="L30" s="219">
        <v>0</v>
      </c>
      <c r="M30" s="219">
        <v>0</v>
      </c>
      <c r="N30" s="45">
        <f t="shared" si="0"/>
        <v>48295.899999999994</v>
      </c>
    </row>
    <row r="31" spans="1:14">
      <c r="A31" s="119">
        <f t="shared" si="2"/>
        <v>2036</v>
      </c>
      <c r="B31" s="119">
        <f t="shared" si="2"/>
        <v>84</v>
      </c>
      <c r="C31" s="119">
        <f t="shared" si="2"/>
        <v>81</v>
      </c>
      <c r="D31" s="219">
        <v>0</v>
      </c>
      <c r="E31" s="339">
        <v>28152</v>
      </c>
      <c r="F31" s="219">
        <v>0</v>
      </c>
      <c r="G31" s="219">
        <v>0</v>
      </c>
      <c r="H31" s="480">
        <v>10071.950000000001</v>
      </c>
      <c r="I31" s="480">
        <v>10071.950000000001</v>
      </c>
      <c r="J31" s="219">
        <v>0</v>
      </c>
      <c r="K31" s="219">
        <v>0</v>
      </c>
      <c r="L31" s="219">
        <v>0</v>
      </c>
      <c r="M31" s="219">
        <v>0</v>
      </c>
      <c r="N31" s="45">
        <f t="shared" si="0"/>
        <v>48295.899999999994</v>
      </c>
    </row>
    <row r="32" spans="1:14">
      <c r="A32" s="119">
        <f t="shared" si="2"/>
        <v>2037</v>
      </c>
      <c r="B32" s="119">
        <f t="shared" si="2"/>
        <v>85</v>
      </c>
      <c r="C32" s="119">
        <f t="shared" si="2"/>
        <v>82</v>
      </c>
      <c r="D32" s="219">
        <v>0</v>
      </c>
      <c r="E32" s="339">
        <v>28152</v>
      </c>
      <c r="F32" s="219">
        <v>0</v>
      </c>
      <c r="G32" s="219">
        <v>0</v>
      </c>
      <c r="H32" s="480">
        <v>10071.950000000001</v>
      </c>
      <c r="I32" s="480">
        <v>10071.950000000001</v>
      </c>
      <c r="J32" s="219">
        <v>0</v>
      </c>
      <c r="K32" s="219">
        <v>0</v>
      </c>
      <c r="L32" s="219">
        <v>0</v>
      </c>
      <c r="M32" s="219">
        <v>0</v>
      </c>
      <c r="N32" s="45">
        <f t="shared" si="0"/>
        <v>48295.899999999994</v>
      </c>
    </row>
    <row r="33" spans="1:25">
      <c r="A33" s="119">
        <f t="shared" si="2"/>
        <v>2038</v>
      </c>
      <c r="B33" s="119">
        <f t="shared" si="2"/>
        <v>86</v>
      </c>
      <c r="C33" s="119">
        <f t="shared" si="2"/>
        <v>83</v>
      </c>
      <c r="D33" s="219">
        <v>0</v>
      </c>
      <c r="E33" s="339">
        <v>28152</v>
      </c>
      <c r="F33" s="219">
        <v>0</v>
      </c>
      <c r="G33" s="219">
        <v>0</v>
      </c>
      <c r="H33" s="480">
        <v>10071.950000000001</v>
      </c>
      <c r="I33" s="480">
        <v>10071.950000000001</v>
      </c>
      <c r="J33" s="219">
        <v>0</v>
      </c>
      <c r="K33" s="219">
        <v>0</v>
      </c>
      <c r="L33" s="219">
        <v>0</v>
      </c>
      <c r="M33" s="219">
        <v>0</v>
      </c>
      <c r="N33" s="45">
        <f t="shared" si="0"/>
        <v>48295.899999999994</v>
      </c>
    </row>
    <row r="34" spans="1:25">
      <c r="A34" s="119">
        <f t="shared" si="2"/>
        <v>2039</v>
      </c>
      <c r="B34" s="119">
        <f t="shared" si="2"/>
        <v>87</v>
      </c>
      <c r="C34" s="119">
        <f t="shared" si="2"/>
        <v>84</v>
      </c>
      <c r="D34" s="219">
        <v>0</v>
      </c>
      <c r="E34" s="339">
        <v>28152</v>
      </c>
      <c r="F34" s="219">
        <v>0</v>
      </c>
      <c r="G34" s="219">
        <v>0</v>
      </c>
      <c r="H34" s="480">
        <v>10071.950000000001</v>
      </c>
      <c r="I34" s="480">
        <v>10071.950000000001</v>
      </c>
      <c r="J34" s="219">
        <v>0</v>
      </c>
      <c r="K34" s="219">
        <v>0</v>
      </c>
      <c r="L34" s="219">
        <v>0</v>
      </c>
      <c r="M34" s="219">
        <v>0</v>
      </c>
      <c r="N34" s="45">
        <f t="shared" si="0"/>
        <v>48295.899999999994</v>
      </c>
    </row>
    <row r="35" spans="1:25">
      <c r="A35" s="119">
        <f t="shared" si="2"/>
        <v>2040</v>
      </c>
      <c r="B35" s="119">
        <f t="shared" si="2"/>
        <v>88</v>
      </c>
      <c r="C35" s="119">
        <f t="shared" si="2"/>
        <v>85</v>
      </c>
      <c r="D35" s="219">
        <v>0</v>
      </c>
      <c r="E35" s="339">
        <v>28152</v>
      </c>
      <c r="F35" s="219">
        <v>0</v>
      </c>
      <c r="G35" s="219">
        <v>0</v>
      </c>
      <c r="H35" s="480">
        <v>10071.950000000001</v>
      </c>
      <c r="I35" s="480">
        <v>10071.950000000001</v>
      </c>
      <c r="J35" s="219">
        <v>0</v>
      </c>
      <c r="K35" s="219">
        <v>0</v>
      </c>
      <c r="L35" s="219">
        <v>0</v>
      </c>
      <c r="M35" s="219">
        <v>0</v>
      </c>
      <c r="N35" s="45">
        <f t="shared" si="0"/>
        <v>48295.899999999994</v>
      </c>
    </row>
    <row r="36" spans="1:25">
      <c r="A36" s="119">
        <f t="shared" si="2"/>
        <v>2041</v>
      </c>
      <c r="B36" s="119">
        <f t="shared" si="2"/>
        <v>89</v>
      </c>
      <c r="C36" s="119">
        <f t="shared" si="2"/>
        <v>86</v>
      </c>
      <c r="D36" s="219">
        <v>0</v>
      </c>
      <c r="E36" s="339">
        <v>28152</v>
      </c>
      <c r="F36" s="219">
        <v>0</v>
      </c>
      <c r="G36" s="219">
        <v>0</v>
      </c>
      <c r="H36" s="480">
        <v>10071.950000000001</v>
      </c>
      <c r="I36" s="480">
        <v>10071.950000000001</v>
      </c>
      <c r="J36" s="219">
        <v>0</v>
      </c>
      <c r="K36" s="219">
        <v>0</v>
      </c>
      <c r="L36" s="219">
        <v>0</v>
      </c>
      <c r="M36" s="219">
        <v>0</v>
      </c>
      <c r="N36" s="45">
        <f t="shared" si="0"/>
        <v>48295.899999999994</v>
      </c>
    </row>
    <row r="37" spans="1:25">
      <c r="A37" s="119">
        <f t="shared" si="2"/>
        <v>2042</v>
      </c>
      <c r="B37" s="119">
        <f t="shared" si="2"/>
        <v>90</v>
      </c>
      <c r="C37" s="119">
        <f t="shared" si="2"/>
        <v>87</v>
      </c>
      <c r="D37" s="219">
        <v>0</v>
      </c>
      <c r="E37" s="339">
        <v>28152</v>
      </c>
      <c r="F37" s="219">
        <v>0</v>
      </c>
      <c r="G37" s="219">
        <v>0</v>
      </c>
      <c r="H37" s="480">
        <v>10071.950000000001</v>
      </c>
      <c r="I37" s="480">
        <v>10071.950000000001</v>
      </c>
      <c r="J37" s="219">
        <v>0</v>
      </c>
      <c r="K37" s="219">
        <v>0</v>
      </c>
      <c r="L37" s="219">
        <v>0</v>
      </c>
      <c r="M37" s="219">
        <v>0</v>
      </c>
      <c r="N37" s="45">
        <f t="shared" si="0"/>
        <v>48295.899999999994</v>
      </c>
    </row>
    <row r="38" spans="1:25">
      <c r="A38" s="137">
        <f t="shared" si="2"/>
        <v>2043</v>
      </c>
      <c r="B38" s="137">
        <f t="shared" si="2"/>
        <v>91</v>
      </c>
      <c r="C38" s="137">
        <f t="shared" si="2"/>
        <v>88</v>
      </c>
      <c r="D38" s="219">
        <v>0</v>
      </c>
      <c r="E38" s="339">
        <v>28152</v>
      </c>
      <c r="F38" s="219">
        <v>0</v>
      </c>
      <c r="G38" s="219">
        <v>0</v>
      </c>
      <c r="H38" s="480">
        <v>10071.950000000001</v>
      </c>
      <c r="I38" s="480">
        <v>10071.950000000001</v>
      </c>
      <c r="J38" s="219">
        <v>0</v>
      </c>
      <c r="K38" s="219">
        <v>0</v>
      </c>
      <c r="L38" s="219">
        <v>0</v>
      </c>
      <c r="M38" s="219">
        <v>0</v>
      </c>
      <c r="N38" s="45">
        <f t="shared" si="0"/>
        <v>48295.899999999994</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7:L7"/>
    <mergeCell ref="A10:C10"/>
    <mergeCell ref="L1:M1"/>
    <mergeCell ref="E2:K2"/>
    <mergeCell ref="C3:M3"/>
    <mergeCell ref="C4:M4"/>
    <mergeCell ref="D5:L5"/>
    <mergeCell ref="D6:L6"/>
    <mergeCell ref="D1:K1"/>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9:U30"/>
  <sheetViews>
    <sheetView showGridLines="0" workbookViewId="0"/>
  </sheetViews>
  <sheetFormatPr defaultRowHeight="12.45"/>
  <cols>
    <col min="1" max="10" width="8.875" style="156"/>
    <col min="11" max="11" width="23" style="156" customWidth="1"/>
    <col min="12" max="12" width="23.625" style="156" customWidth="1"/>
    <col min="13" max="21" width="8.875" style="156"/>
  </cols>
  <sheetData>
    <row r="9" spans="1:14" ht="17.7">
      <c r="A9" s="1594" t="s">
        <v>811</v>
      </c>
      <c r="B9" s="1594"/>
      <c r="C9" s="1594"/>
      <c r="D9" s="1594"/>
      <c r="E9" s="1594"/>
      <c r="F9" s="1594"/>
      <c r="G9" s="1594"/>
      <c r="H9" s="1594"/>
      <c r="I9" s="1594"/>
      <c r="J9" s="1594"/>
      <c r="K9" s="1594"/>
      <c r="L9" s="575">
        <f>'Egan Asset Summary'!O32</f>
        <v>188000</v>
      </c>
    </row>
    <row r="10" spans="1:14" ht="18.350000000000001">
      <c r="A10" s="1595" t="s">
        <v>812</v>
      </c>
      <c r="B10" s="1596"/>
      <c r="C10" s="1596"/>
      <c r="D10" s="1596"/>
      <c r="E10" s="1596"/>
      <c r="F10" s="1596"/>
      <c r="G10" s="1596"/>
      <c r="H10" s="1596"/>
      <c r="I10" s="1596"/>
      <c r="J10" s="554" t="s">
        <v>102</v>
      </c>
      <c r="K10" s="555">
        <v>3.5999999999999997E-2</v>
      </c>
      <c r="L10" s="556">
        <f>(L9*K10)</f>
        <v>6767.9999999999991</v>
      </c>
      <c r="M10" s="226"/>
      <c r="N10" s="226"/>
    </row>
    <row r="11" spans="1:14" ht="17.7">
      <c r="A11" s="1597" t="s">
        <v>103</v>
      </c>
      <c r="B11" s="1597"/>
      <c r="C11" s="1597"/>
      <c r="D11" s="1597"/>
      <c r="E11" s="1597"/>
      <c r="F11" s="1597"/>
      <c r="G11" s="1597"/>
      <c r="H11" s="1597"/>
      <c r="I11" s="1597"/>
      <c r="J11" s="1597"/>
      <c r="K11" s="1597"/>
      <c r="L11" s="557">
        <f>L9-L10</f>
        <v>181232</v>
      </c>
    </row>
    <row r="13" spans="1:14" ht="17.7">
      <c r="L13" s="558">
        <f>L11</f>
        <v>181232</v>
      </c>
    </row>
    <row r="14" spans="1:14" ht="18.350000000000001">
      <c r="A14" s="1592" t="s">
        <v>813</v>
      </c>
      <c r="B14" s="1593"/>
      <c r="C14" s="1593"/>
      <c r="D14" s="1593"/>
      <c r="E14" s="1593"/>
      <c r="F14" s="1593"/>
      <c r="G14" s="1593"/>
      <c r="H14" s="1593"/>
      <c r="I14" s="1593"/>
      <c r="J14" s="554" t="s">
        <v>102</v>
      </c>
      <c r="K14" s="555">
        <v>1.7000000000000001E-2</v>
      </c>
      <c r="L14" s="556">
        <f>(L13*K14)</f>
        <v>3080.9440000000004</v>
      </c>
    </row>
    <row r="15" spans="1:14" ht="17.7">
      <c r="A15" s="1597" t="s">
        <v>105</v>
      </c>
      <c r="B15" s="1597"/>
      <c r="C15" s="1597"/>
      <c r="D15" s="1597"/>
      <c r="E15" s="1597"/>
      <c r="F15" s="1597"/>
      <c r="G15" s="1597"/>
      <c r="H15" s="1597"/>
      <c r="I15" s="1597"/>
      <c r="J15" s="1597"/>
      <c r="K15" s="1597"/>
      <c r="L15" s="557">
        <f>L13-L14</f>
        <v>178151.05600000001</v>
      </c>
    </row>
    <row r="17" spans="1:13" ht="17.7">
      <c r="L17" s="558">
        <f>L15</f>
        <v>178151.05600000001</v>
      </c>
    </row>
    <row r="18" spans="1:13" ht="18.350000000000001">
      <c r="A18" s="1592" t="s">
        <v>814</v>
      </c>
      <c r="B18" s="1593"/>
      <c r="C18" s="1593"/>
      <c r="D18" s="1593"/>
      <c r="E18" s="1593"/>
      <c r="F18" s="1593"/>
      <c r="G18" s="1593"/>
      <c r="H18" s="1593"/>
      <c r="I18" s="1593"/>
      <c r="J18" s="554" t="s">
        <v>102</v>
      </c>
      <c r="K18" s="555">
        <v>1.7000000000000001E-2</v>
      </c>
      <c r="L18" s="556">
        <f>(L17*K18)</f>
        <v>3028.5679520000003</v>
      </c>
    </row>
    <row r="19" spans="1:13" ht="17.7">
      <c r="A19" s="1597" t="s">
        <v>105</v>
      </c>
      <c r="B19" s="1597"/>
      <c r="C19" s="1597"/>
      <c r="D19" s="1597"/>
      <c r="E19" s="1597"/>
      <c r="F19" s="1597"/>
      <c r="G19" s="1597"/>
      <c r="H19" s="1597"/>
      <c r="I19" s="1597"/>
      <c r="J19" s="1597"/>
      <c r="K19" s="1597"/>
      <c r="L19" s="557">
        <f>L17-L18</f>
        <v>175122.488048</v>
      </c>
    </row>
    <row r="21" spans="1:13" ht="17.7">
      <c r="A21" s="559"/>
      <c r="B21" s="559"/>
      <c r="C21" s="559"/>
      <c r="D21" s="559"/>
      <c r="E21" s="559"/>
      <c r="F21" s="559"/>
      <c r="G21" s="559"/>
      <c r="H21" s="559"/>
      <c r="L21" s="558">
        <f>L19</f>
        <v>175122.488048</v>
      </c>
    </row>
    <row r="22" spans="1:13" ht="18.350000000000001">
      <c r="A22" s="1592" t="s">
        <v>815</v>
      </c>
      <c r="B22" s="1593"/>
      <c r="C22" s="1593"/>
      <c r="D22" s="1593"/>
      <c r="E22" s="1593"/>
      <c r="F22" s="1593"/>
      <c r="G22" s="1593"/>
      <c r="H22" s="1593"/>
      <c r="I22" s="1593"/>
      <c r="J22" s="554" t="s">
        <v>102</v>
      </c>
      <c r="K22" s="555">
        <v>1.7000000000000001E-2</v>
      </c>
      <c r="L22" s="556">
        <f>(L21*K22)</f>
        <v>2977.0822968160001</v>
      </c>
    </row>
    <row r="23" spans="1:13" ht="17.7">
      <c r="A23" s="1597" t="s">
        <v>105</v>
      </c>
      <c r="B23" s="1598"/>
      <c r="C23" s="1598"/>
      <c r="D23" s="1598"/>
      <c r="E23" s="1598"/>
      <c r="F23" s="1598"/>
      <c r="G23" s="1598"/>
      <c r="H23" s="1598"/>
      <c r="I23" s="1598"/>
      <c r="J23" s="1598"/>
      <c r="K23" s="1598"/>
      <c r="L23" s="557">
        <f>L21-L22</f>
        <v>172145.40575118401</v>
      </c>
    </row>
    <row r="25" spans="1:13" ht="17.7">
      <c r="L25" s="557">
        <f>L23-L24</f>
        <v>172145.40575118401</v>
      </c>
    </row>
    <row r="26" spans="1:13" ht="18.350000000000001">
      <c r="A26" s="1592" t="s">
        <v>816</v>
      </c>
      <c r="B26" s="1593"/>
      <c r="C26" s="1593"/>
      <c r="D26" s="1593"/>
      <c r="E26" s="1593"/>
      <c r="F26" s="1593"/>
      <c r="G26" s="1593"/>
      <c r="H26" s="1593"/>
      <c r="I26" s="1593"/>
      <c r="J26" s="554" t="s">
        <v>102</v>
      </c>
      <c r="K26" s="555">
        <v>1.7000000000000001E-2</v>
      </c>
      <c r="L26" s="556">
        <f>(L25*K26)</f>
        <v>2926.4718977701282</v>
      </c>
    </row>
    <row r="27" spans="1:13" ht="17.7">
      <c r="A27" s="1597" t="s">
        <v>105</v>
      </c>
      <c r="B27" s="1598"/>
      <c r="C27" s="1598"/>
      <c r="D27" s="1598"/>
      <c r="E27" s="1598"/>
      <c r="F27" s="1598"/>
      <c r="G27" s="1598"/>
      <c r="H27" s="1598"/>
      <c r="I27" s="1598"/>
      <c r="J27" s="1598"/>
      <c r="K27" s="1598"/>
      <c r="L27" s="557">
        <f>L25-L26</f>
        <v>169218.93385341388</v>
      </c>
      <c r="M27" s="560"/>
    </row>
    <row r="30" spans="1:13" ht="23.6">
      <c r="A30" s="1599" t="s">
        <v>817</v>
      </c>
      <c r="B30" s="1599"/>
      <c r="C30" s="1599"/>
      <c r="D30" s="1599"/>
      <c r="E30" s="1599"/>
      <c r="F30" s="1599"/>
      <c r="G30" s="1599"/>
      <c r="H30" s="1599"/>
      <c r="I30" s="1599"/>
      <c r="J30" s="1599"/>
      <c r="K30" s="561">
        <f>L10+L14+L18+L22+L26</f>
        <v>18781.066146586127</v>
      </c>
    </row>
  </sheetData>
  <mergeCells count="12">
    <mergeCell ref="A30:J30"/>
    <mergeCell ref="A9:K9"/>
    <mergeCell ref="A10:I10"/>
    <mergeCell ref="A11:K11"/>
    <mergeCell ref="A14:I14"/>
    <mergeCell ref="A15:K15"/>
    <mergeCell ref="A18:I18"/>
    <mergeCell ref="A19:K19"/>
    <mergeCell ref="A22:I22"/>
    <mergeCell ref="A23:K23"/>
    <mergeCell ref="A26:I26"/>
    <mergeCell ref="A27:K27"/>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W119"/>
  <sheetViews>
    <sheetView showGridLines="0" workbookViewId="0"/>
  </sheetViews>
  <sheetFormatPr defaultRowHeight="12.45"/>
  <cols>
    <col min="1" max="1" width="11.875" customWidth="1"/>
    <col min="2" max="3" width="9.875" customWidth="1"/>
    <col min="4" max="4" width="16.375" customWidth="1"/>
    <col min="5" max="5" width="14.25" customWidth="1"/>
    <col min="6" max="6" width="10.75" customWidth="1"/>
    <col min="7" max="7" width="17.125" customWidth="1"/>
    <col min="8" max="8" width="20.25" customWidth="1"/>
    <col min="9" max="10" width="19.75" customWidth="1"/>
    <col min="11" max="11" width="20" customWidth="1"/>
    <col min="12" max="12" width="18" customWidth="1"/>
    <col min="13" max="20" width="8.875" style="75"/>
    <col min="21" max="23" width="8.875" style="156"/>
  </cols>
  <sheetData>
    <row r="1" spans="1:15" ht="24.9">
      <c r="A1" s="567" t="s">
        <v>818</v>
      </c>
      <c r="B1" s="563">
        <v>70</v>
      </c>
      <c r="C1" s="562">
        <v>68</v>
      </c>
      <c r="D1" s="512"/>
      <c r="E1" s="512"/>
      <c r="F1" s="512"/>
      <c r="G1" s="2120"/>
      <c r="H1" s="2120"/>
      <c r="I1" s="391"/>
      <c r="J1" s="391"/>
      <c r="K1" s="391"/>
      <c r="L1" s="391"/>
      <c r="M1" s="393"/>
      <c r="N1" s="393"/>
      <c r="O1" s="393"/>
    </row>
    <row r="2" spans="1:15" ht="20.3">
      <c r="A2" s="2121" t="s">
        <v>819</v>
      </c>
      <c r="B2" s="2121"/>
      <c r="C2" s="2121"/>
      <c r="D2" s="513">
        <v>18333</v>
      </c>
      <c r="E2" s="514"/>
      <c r="F2" s="2122" t="s">
        <v>820</v>
      </c>
      <c r="G2" s="2122"/>
      <c r="H2" s="2122"/>
      <c r="I2" s="515">
        <f>D2*(12)</f>
        <v>219996</v>
      </c>
      <c r="J2" s="516"/>
      <c r="K2" s="517">
        <f>D2*(12)</f>
        <v>219996</v>
      </c>
      <c r="L2" s="517">
        <f>D2*(12)</f>
        <v>219996</v>
      </c>
    </row>
    <row r="3" spans="1:15" ht="20.3">
      <c r="A3" s="512"/>
      <c r="B3" s="512"/>
      <c r="C3" s="512"/>
      <c r="D3" s="512"/>
      <c r="E3" s="514"/>
      <c r="F3" s="514"/>
      <c r="G3" s="518"/>
      <c r="H3" s="518"/>
      <c r="I3" s="514"/>
      <c r="J3" s="514"/>
      <c r="K3" s="514"/>
      <c r="L3" s="514"/>
    </row>
    <row r="4" spans="1:15" ht="20.3">
      <c r="A4" s="512"/>
      <c r="B4" s="512"/>
      <c r="C4" s="512"/>
      <c r="D4" s="512"/>
      <c r="E4" s="514"/>
      <c r="F4" s="514"/>
      <c r="G4" s="518"/>
      <c r="H4" s="518"/>
      <c r="I4" s="587"/>
      <c r="J4" s="514"/>
      <c r="K4" s="514"/>
      <c r="L4" s="514"/>
    </row>
    <row r="5" spans="1:15" ht="20.3">
      <c r="A5" s="2121" t="s">
        <v>821</v>
      </c>
      <c r="B5" s="2121"/>
      <c r="C5" s="2121"/>
      <c r="D5" s="513">
        <v>9166.67</v>
      </c>
      <c r="E5" s="2123" t="s">
        <v>822</v>
      </c>
      <c r="F5" s="2122"/>
      <c r="G5" s="2122"/>
      <c r="H5" s="2122"/>
      <c r="I5" s="572">
        <f>D5*(12)</f>
        <v>110000.04000000001</v>
      </c>
      <c r="J5" s="514"/>
      <c r="K5" s="573">
        <f>D5*(12)</f>
        <v>110000.04000000001</v>
      </c>
      <c r="L5" s="573">
        <f>D5*(12)</f>
        <v>110000.04000000001</v>
      </c>
    </row>
    <row r="6" spans="1:15" ht="21.6" customHeight="1">
      <c r="A6" s="2124"/>
      <c r="B6" s="2124"/>
      <c r="C6" s="2124"/>
      <c r="D6" s="519"/>
      <c r="E6" s="519"/>
      <c r="F6" s="519"/>
      <c r="G6" s="519"/>
      <c r="H6" s="519"/>
      <c r="I6" s="75"/>
      <c r="J6" s="519"/>
      <c r="K6" s="520"/>
      <c r="L6" s="520"/>
    </row>
    <row r="7" spans="1:15" ht="18.350000000000001">
      <c r="A7" s="565" t="s">
        <v>823</v>
      </c>
      <c r="B7" s="521">
        <v>70</v>
      </c>
      <c r="C7" s="522">
        <v>3546</v>
      </c>
      <c r="D7" s="523">
        <v>3546</v>
      </c>
      <c r="E7" s="524"/>
      <c r="F7" s="525"/>
      <c r="G7" s="525"/>
      <c r="H7" s="582" t="s">
        <v>383</v>
      </c>
      <c r="I7" s="580">
        <f>C7*(12)</f>
        <v>42552</v>
      </c>
      <c r="J7" s="514"/>
      <c r="K7" s="576">
        <f>D7*(12)</f>
        <v>42552</v>
      </c>
      <c r="L7" s="577">
        <f>D7*(12)</f>
        <v>42552</v>
      </c>
    </row>
    <row r="8" spans="1:15" ht="18.350000000000001">
      <c r="A8" s="566" t="s">
        <v>824</v>
      </c>
      <c r="B8" s="526">
        <v>70</v>
      </c>
      <c r="C8" s="126">
        <v>2795</v>
      </c>
      <c r="D8" s="527">
        <v>0</v>
      </c>
      <c r="E8" s="528"/>
      <c r="F8" s="393"/>
      <c r="G8" s="393"/>
      <c r="H8" s="582" t="s">
        <v>524</v>
      </c>
      <c r="I8" s="581">
        <f>C8*(12)</f>
        <v>33540</v>
      </c>
      <c r="J8" s="514"/>
      <c r="K8" s="578">
        <f>D8*(12)</f>
        <v>0</v>
      </c>
      <c r="L8" s="579">
        <f>D8*(12)</f>
        <v>0</v>
      </c>
    </row>
    <row r="9" spans="1:15" ht="15.05">
      <c r="A9" s="402"/>
      <c r="B9" s="402"/>
      <c r="C9" s="529" t="s">
        <v>15</v>
      </c>
      <c r="D9" s="530" t="s">
        <v>749</v>
      </c>
      <c r="E9" s="531" t="s">
        <v>825</v>
      </c>
      <c r="F9" s="1891"/>
      <c r="G9" s="1891"/>
      <c r="H9" s="1891"/>
      <c r="I9" s="75"/>
      <c r="J9" s="75"/>
      <c r="K9" s="532"/>
      <c r="L9" s="533"/>
    </row>
    <row r="10" spans="1:15" ht="18.350000000000001">
      <c r="A10" s="2046" t="s">
        <v>386</v>
      </c>
      <c r="B10" s="2046"/>
      <c r="C10" s="534">
        <v>295.58999999999997</v>
      </c>
      <c r="D10" s="535">
        <v>295.58999999999997</v>
      </c>
      <c r="E10" s="536">
        <v>68</v>
      </c>
      <c r="F10" s="404"/>
      <c r="G10" s="404"/>
      <c r="H10" s="584" t="s">
        <v>386</v>
      </c>
      <c r="I10" s="537">
        <f>C10*(12)</f>
        <v>3547.08</v>
      </c>
      <c r="J10" s="514"/>
      <c r="K10" s="538">
        <f t="shared" ref="K10:K15" si="0">D10*(12)</f>
        <v>3547.08</v>
      </c>
      <c r="L10" s="539">
        <f t="shared" ref="L10:L15" si="1">C10*(12)</f>
        <v>3547.08</v>
      </c>
    </row>
    <row r="11" spans="1:15" ht="18.350000000000001">
      <c r="A11" s="2046" t="s">
        <v>386</v>
      </c>
      <c r="B11" s="2046"/>
      <c r="C11" s="534">
        <v>0</v>
      </c>
      <c r="D11" s="535">
        <v>0</v>
      </c>
      <c r="E11" s="536">
        <v>58</v>
      </c>
      <c r="F11" s="404"/>
      <c r="G11" s="404"/>
      <c r="H11" s="584" t="s">
        <v>386</v>
      </c>
      <c r="I11" s="537">
        <f t="shared" ref="I11:I15" si="2">C11*(12)</f>
        <v>0</v>
      </c>
      <c r="J11" s="514"/>
      <c r="K11" s="538">
        <f t="shared" si="0"/>
        <v>0</v>
      </c>
      <c r="L11" s="539">
        <f t="shared" si="1"/>
        <v>0</v>
      </c>
    </row>
    <row r="12" spans="1:15" ht="18.350000000000001">
      <c r="A12" s="2046" t="s">
        <v>386</v>
      </c>
      <c r="B12" s="2046"/>
      <c r="C12" s="534">
        <v>0</v>
      </c>
      <c r="D12" s="535">
        <v>0</v>
      </c>
      <c r="E12" s="536">
        <v>58</v>
      </c>
      <c r="F12" s="75"/>
      <c r="G12" s="75"/>
      <c r="H12" s="584" t="s">
        <v>386</v>
      </c>
      <c r="I12" s="537">
        <f t="shared" si="2"/>
        <v>0</v>
      </c>
      <c r="J12" s="514"/>
      <c r="K12" s="538">
        <f t="shared" si="0"/>
        <v>0</v>
      </c>
      <c r="L12" s="539">
        <f t="shared" si="1"/>
        <v>0</v>
      </c>
    </row>
    <row r="13" spans="1:15" ht="18.350000000000001">
      <c r="A13" s="2046" t="s">
        <v>386</v>
      </c>
      <c r="B13" s="2046"/>
      <c r="C13" s="534">
        <v>0</v>
      </c>
      <c r="D13" s="535">
        <v>0</v>
      </c>
      <c r="E13" s="536">
        <v>58</v>
      </c>
      <c r="F13" s="75"/>
      <c r="G13" s="75"/>
      <c r="H13" s="584" t="s">
        <v>386</v>
      </c>
      <c r="I13" s="537">
        <f t="shared" si="2"/>
        <v>0</v>
      </c>
      <c r="J13" s="514"/>
      <c r="K13" s="538">
        <f t="shared" si="0"/>
        <v>0</v>
      </c>
      <c r="L13" s="539">
        <f t="shared" si="1"/>
        <v>0</v>
      </c>
    </row>
    <row r="14" spans="1:15" ht="18.350000000000001">
      <c r="A14" s="2046" t="s">
        <v>826</v>
      </c>
      <c r="B14" s="2046"/>
      <c r="C14" s="534">
        <v>0</v>
      </c>
      <c r="D14" s="535">
        <v>0</v>
      </c>
      <c r="E14" s="536">
        <v>58</v>
      </c>
      <c r="F14" s="404"/>
      <c r="G14" s="404"/>
      <c r="H14" s="583" t="s">
        <v>826</v>
      </c>
      <c r="I14" s="537">
        <f t="shared" si="2"/>
        <v>0</v>
      </c>
      <c r="J14" s="514"/>
      <c r="K14" s="538">
        <f t="shared" si="0"/>
        <v>0</v>
      </c>
      <c r="L14" s="539">
        <f t="shared" si="1"/>
        <v>0</v>
      </c>
    </row>
    <row r="15" spans="1:15" ht="18.350000000000001">
      <c r="A15" s="2046" t="s">
        <v>826</v>
      </c>
      <c r="B15" s="2046"/>
      <c r="C15" s="534">
        <v>0</v>
      </c>
      <c r="D15" s="535">
        <v>0</v>
      </c>
      <c r="E15" s="536">
        <v>58</v>
      </c>
      <c r="F15" s="404"/>
      <c r="G15" s="404"/>
      <c r="H15" s="583" t="s">
        <v>826</v>
      </c>
      <c r="I15" s="540">
        <f t="shared" si="2"/>
        <v>0</v>
      </c>
      <c r="J15" s="514"/>
      <c r="K15" s="541">
        <f t="shared" si="0"/>
        <v>0</v>
      </c>
      <c r="L15" s="542">
        <f t="shared" si="1"/>
        <v>0</v>
      </c>
    </row>
    <row r="16" spans="1:15" ht="15.05">
      <c r="A16" s="564"/>
      <c r="B16" s="543"/>
      <c r="C16" s="529" t="s">
        <v>15</v>
      </c>
      <c r="D16" s="544" t="s">
        <v>749</v>
      </c>
      <c r="E16" s="545" t="s">
        <v>827</v>
      </c>
      <c r="F16" s="1891"/>
      <c r="G16" s="1891"/>
      <c r="H16" s="1891"/>
      <c r="I16" s="546"/>
      <c r="J16" s="546"/>
      <c r="K16" s="75"/>
      <c r="L16" s="75"/>
    </row>
    <row r="17" spans="1:12" ht="18.350000000000001">
      <c r="A17" s="2039" t="s">
        <v>387</v>
      </c>
      <c r="B17" s="2039"/>
      <c r="C17" s="534">
        <v>0</v>
      </c>
      <c r="D17" s="535">
        <v>0</v>
      </c>
      <c r="E17" s="547">
        <v>58</v>
      </c>
      <c r="F17" s="574"/>
      <c r="G17" s="404"/>
      <c r="H17" s="583" t="s">
        <v>387</v>
      </c>
      <c r="I17" s="548">
        <f>C17*(12)</f>
        <v>0</v>
      </c>
      <c r="J17" s="514"/>
      <c r="K17" s="549">
        <f t="shared" ref="K17:L22" si="3">C17*(12)</f>
        <v>0</v>
      </c>
      <c r="L17" s="550">
        <f t="shared" si="3"/>
        <v>0</v>
      </c>
    </row>
    <row r="18" spans="1:12" ht="18.350000000000001">
      <c r="A18" s="2039" t="s">
        <v>387</v>
      </c>
      <c r="B18" s="2039"/>
      <c r="C18" s="534">
        <v>0</v>
      </c>
      <c r="D18" s="535">
        <v>0</v>
      </c>
      <c r="E18" s="536">
        <v>58</v>
      </c>
      <c r="F18" s="404"/>
      <c r="G18" s="404"/>
      <c r="H18" s="583" t="s">
        <v>387</v>
      </c>
      <c r="I18" s="538">
        <f t="shared" ref="I18:I22" si="4">C18*(12)</f>
        <v>0</v>
      </c>
      <c r="J18" s="514"/>
      <c r="K18" s="538">
        <f t="shared" si="3"/>
        <v>0</v>
      </c>
      <c r="L18" s="539">
        <f t="shared" si="3"/>
        <v>0</v>
      </c>
    </row>
    <row r="19" spans="1:12" ht="18.350000000000001">
      <c r="A19" s="2039" t="s">
        <v>387</v>
      </c>
      <c r="B19" s="2039"/>
      <c r="C19" s="534">
        <v>0</v>
      </c>
      <c r="D19" s="535">
        <v>0</v>
      </c>
      <c r="E19" s="536">
        <v>58</v>
      </c>
      <c r="F19" s="404"/>
      <c r="G19" s="404"/>
      <c r="H19" s="583" t="s">
        <v>387</v>
      </c>
      <c r="I19" s="538">
        <f t="shared" si="4"/>
        <v>0</v>
      </c>
      <c r="J19" s="514"/>
      <c r="K19" s="538">
        <f t="shared" si="3"/>
        <v>0</v>
      </c>
      <c r="L19" s="539">
        <f t="shared" si="3"/>
        <v>0</v>
      </c>
    </row>
    <row r="20" spans="1:12" ht="18.350000000000001">
      <c r="A20" s="2039" t="s">
        <v>387</v>
      </c>
      <c r="B20" s="2039"/>
      <c r="C20" s="534">
        <v>0</v>
      </c>
      <c r="D20" s="535">
        <v>0</v>
      </c>
      <c r="E20" s="536">
        <v>58</v>
      </c>
      <c r="F20" s="404"/>
      <c r="G20" s="404"/>
      <c r="H20" s="583" t="s">
        <v>387</v>
      </c>
      <c r="I20" s="538">
        <f t="shared" si="4"/>
        <v>0</v>
      </c>
      <c r="J20" s="514"/>
      <c r="K20" s="538">
        <f t="shared" si="3"/>
        <v>0</v>
      </c>
      <c r="L20" s="539">
        <f t="shared" si="3"/>
        <v>0</v>
      </c>
    </row>
    <row r="21" spans="1:12" ht="18.350000000000001">
      <c r="A21" s="2039" t="s">
        <v>828</v>
      </c>
      <c r="B21" s="2039"/>
      <c r="C21" s="534">
        <v>0</v>
      </c>
      <c r="D21" s="535">
        <v>0</v>
      </c>
      <c r="E21" s="536">
        <v>58</v>
      </c>
      <c r="F21" s="404"/>
      <c r="G21" s="404"/>
      <c r="H21" s="583" t="s">
        <v>828</v>
      </c>
      <c r="I21" s="538">
        <f t="shared" si="4"/>
        <v>0</v>
      </c>
      <c r="J21" s="514"/>
      <c r="K21" s="538">
        <f t="shared" si="3"/>
        <v>0</v>
      </c>
      <c r="L21" s="539">
        <f t="shared" si="3"/>
        <v>0</v>
      </c>
    </row>
    <row r="22" spans="1:12" ht="18.350000000000001">
      <c r="A22" s="2039" t="s">
        <v>828</v>
      </c>
      <c r="B22" s="2039"/>
      <c r="C22" s="534">
        <v>0</v>
      </c>
      <c r="D22" s="535">
        <v>0</v>
      </c>
      <c r="E22" s="551">
        <v>58</v>
      </c>
      <c r="F22" s="574"/>
      <c r="G22" s="404"/>
      <c r="H22" s="583" t="s">
        <v>828</v>
      </c>
      <c r="I22" s="541">
        <f t="shared" si="4"/>
        <v>0</v>
      </c>
      <c r="J22" s="514"/>
      <c r="K22" s="541">
        <f t="shared" si="3"/>
        <v>0</v>
      </c>
      <c r="L22" s="542">
        <f t="shared" si="3"/>
        <v>0</v>
      </c>
    </row>
    <row r="23" spans="1:12" ht="18.350000000000001">
      <c r="A23" s="1891"/>
      <c r="B23" s="1891"/>
      <c r="C23" s="1891"/>
      <c r="D23" s="1891"/>
      <c r="E23" s="1891"/>
      <c r="F23" s="1891"/>
      <c r="G23" s="1891"/>
      <c r="H23" s="1891"/>
      <c r="I23" s="529"/>
      <c r="J23" s="514"/>
      <c r="K23" s="529"/>
      <c r="L23" s="529"/>
    </row>
    <row r="24" spans="1:12" ht="20.3">
      <c r="A24" s="2125" t="s">
        <v>829</v>
      </c>
      <c r="B24" s="2126"/>
      <c r="C24" s="2126"/>
      <c r="D24" s="2126"/>
      <c r="E24" s="2126"/>
      <c r="F24" s="2126"/>
      <c r="G24" s="2126"/>
      <c r="H24" s="2126"/>
      <c r="I24" s="571">
        <f>I7+I8+I10+I11+I12+I13+I14+I15+I17+I18+I19+I20+I21+I22</f>
        <v>79639.08</v>
      </c>
      <c r="J24" s="514"/>
      <c r="K24" s="585">
        <f>K7+K8+K10+K11+K12+K13+K14+K15+K17+K18+K19+K20+K21+K22</f>
        <v>46099.08</v>
      </c>
      <c r="L24" s="586">
        <f>L7+L8+L10+L11+L12+L13+L15+L17+L18+L19+L20+L21+L22</f>
        <v>46099.08</v>
      </c>
    </row>
    <row r="25" spans="1:12" ht="15.05">
      <c r="A25" s="564"/>
      <c r="B25" s="2127"/>
      <c r="C25" s="2127"/>
      <c r="D25" s="2127"/>
      <c r="E25" s="2127"/>
      <c r="F25" s="2127"/>
      <c r="G25" s="2127"/>
      <c r="H25" s="2127"/>
      <c r="I25" s="75"/>
      <c r="J25" s="75"/>
      <c r="K25" s="2133" t="s">
        <v>830</v>
      </c>
      <c r="L25" s="2134"/>
    </row>
    <row r="26" spans="1:12">
      <c r="A26" s="75"/>
      <c r="B26" s="75"/>
      <c r="C26" s="75"/>
      <c r="D26" s="75"/>
      <c r="E26" s="75"/>
      <c r="F26" s="75"/>
      <c r="G26" s="75"/>
      <c r="H26" s="75"/>
      <c r="I26" s="75"/>
      <c r="J26" s="75"/>
      <c r="K26" s="75"/>
      <c r="L26" s="75"/>
    </row>
    <row r="27" spans="1:12" ht="20.3">
      <c r="A27" s="2128" t="s">
        <v>831</v>
      </c>
      <c r="B27" s="2128"/>
      <c r="C27" s="2128"/>
      <c r="D27" s="2128"/>
      <c r="E27" s="2128"/>
      <c r="F27" s="2128"/>
      <c r="G27" s="2128"/>
      <c r="H27" s="2128"/>
      <c r="I27" s="568">
        <f>I7+I8+I10+I11+I12+I13+I15+I17+I18+I19+I20+I22-I5</f>
        <v>-30360.960000000006</v>
      </c>
      <c r="J27" s="552"/>
      <c r="K27" s="569">
        <f>K7+K8+K10+K11+K12+K13+K15+K17+K18+K19+K20+K22-K5</f>
        <v>-63900.960000000006</v>
      </c>
      <c r="L27" s="570">
        <f>L7+L8+L10+L11+L12+L13+L15+L17+L18+L19+L20+L22-L5</f>
        <v>-63900.960000000006</v>
      </c>
    </row>
    <row r="28" spans="1:12" ht="17.7">
      <c r="A28" s="553"/>
      <c r="B28" s="553"/>
      <c r="C28" s="553"/>
      <c r="D28" s="553"/>
      <c r="E28" s="553"/>
      <c r="F28" s="553"/>
      <c r="G28" s="553"/>
      <c r="H28" s="553"/>
      <c r="I28" s="553"/>
      <c r="J28" s="553"/>
      <c r="K28" s="2133" t="s">
        <v>832</v>
      </c>
      <c r="L28" s="2134"/>
    </row>
    <row r="29" spans="1:12" ht="17.7">
      <c r="A29" s="2129"/>
      <c r="B29" s="2129"/>
      <c r="C29" s="2129"/>
      <c r="D29" s="2129"/>
      <c r="E29" s="2129"/>
      <c r="F29" s="2129"/>
      <c r="G29" s="2129"/>
      <c r="H29" s="2129"/>
      <c r="I29" s="2129"/>
      <c r="J29" s="2129"/>
      <c r="K29" s="2129"/>
      <c r="L29" s="2129"/>
    </row>
    <row r="30" spans="1:12" ht="17.55" customHeight="1">
      <c r="A30" s="2130" t="s">
        <v>833</v>
      </c>
      <c r="B30" s="2130"/>
      <c r="C30" s="2130"/>
      <c r="D30" s="2130"/>
      <c r="E30" s="2130"/>
      <c r="F30" s="2130"/>
      <c r="G30" s="2130"/>
      <c r="H30" s="2130"/>
      <c r="I30" s="2130"/>
      <c r="J30" s="2130"/>
      <c r="K30" s="2130"/>
      <c r="L30" s="2130"/>
    </row>
    <row r="31" spans="1:12" ht="20.3">
      <c r="A31" s="2130" t="s">
        <v>834</v>
      </c>
      <c r="B31" s="2130"/>
      <c r="C31" s="2130"/>
      <c r="D31" s="2130"/>
      <c r="E31" s="2130"/>
      <c r="F31" s="2130"/>
      <c r="G31" s="2130"/>
      <c r="H31" s="2130"/>
      <c r="I31" s="2130"/>
      <c r="J31" s="2130"/>
      <c r="K31" s="2130"/>
      <c r="L31" s="2130"/>
    </row>
    <row r="32" spans="1:12" ht="20.3">
      <c r="A32" s="2130"/>
      <c r="B32" s="2131"/>
      <c r="C32" s="2131"/>
      <c r="D32" s="2131"/>
      <c r="E32" s="2131"/>
      <c r="F32" s="2131"/>
      <c r="G32" s="2131"/>
      <c r="H32" s="2131"/>
      <c r="I32" s="2131"/>
      <c r="J32" s="2131"/>
      <c r="K32" s="2131"/>
      <c r="L32" s="2131"/>
    </row>
    <row r="33" spans="1:12" ht="17.7">
      <c r="A33" s="553"/>
      <c r="B33" s="553"/>
      <c r="C33" s="553"/>
      <c r="D33" s="553"/>
      <c r="E33" s="553"/>
      <c r="F33" s="2132" t="s">
        <v>835</v>
      </c>
      <c r="G33" s="2132"/>
      <c r="H33" s="2132"/>
      <c r="I33" s="2132"/>
      <c r="J33" s="553"/>
      <c r="K33" s="553"/>
      <c r="L33" s="553"/>
    </row>
    <row r="34" spans="1:12" ht="17.7">
      <c r="A34" s="2129"/>
      <c r="B34" s="2129"/>
      <c r="C34" s="2129"/>
      <c r="D34" s="2129"/>
      <c r="E34" s="2129"/>
      <c r="F34" s="2129"/>
      <c r="G34" s="2129"/>
      <c r="H34" s="2129"/>
      <c r="I34" s="2129"/>
      <c r="J34" s="2129"/>
      <c r="K34" s="2129"/>
      <c r="L34" s="2129"/>
    </row>
    <row r="35" spans="1:12" ht="15.05">
      <c r="A35" s="1525"/>
      <c r="B35" s="1525"/>
      <c r="C35" s="1525"/>
      <c r="D35" s="1525"/>
      <c r="E35" s="75"/>
      <c r="F35" s="75"/>
      <c r="G35" s="75"/>
      <c r="H35" s="75"/>
      <c r="I35" s="420"/>
      <c r="J35" s="420"/>
      <c r="K35" s="75"/>
      <c r="L35" s="75"/>
    </row>
    <row r="36" spans="1:12">
      <c r="A36" s="75"/>
      <c r="B36" s="75"/>
      <c r="C36" s="75"/>
      <c r="D36" s="75"/>
      <c r="E36" s="75"/>
      <c r="F36" s="75"/>
      <c r="G36" s="75"/>
      <c r="H36" s="75"/>
      <c r="I36" s="75"/>
      <c r="J36" s="75"/>
      <c r="K36" s="75"/>
      <c r="L36" s="75"/>
    </row>
    <row r="37" spans="1:12">
      <c r="A37" s="75"/>
      <c r="B37" s="75"/>
      <c r="C37" s="75"/>
      <c r="D37" s="75"/>
      <c r="E37" s="75"/>
      <c r="F37" s="75"/>
      <c r="G37" s="75"/>
      <c r="H37" s="75"/>
      <c r="I37" s="75"/>
      <c r="J37" s="75"/>
      <c r="K37" s="75"/>
      <c r="L37" s="75"/>
    </row>
    <row r="38" spans="1:12">
      <c r="A38" s="75"/>
      <c r="B38" s="75"/>
      <c r="C38" s="75"/>
      <c r="D38" s="75"/>
      <c r="E38" s="75"/>
      <c r="F38" s="75"/>
      <c r="G38" s="75"/>
      <c r="H38" s="75"/>
      <c r="I38" s="75"/>
      <c r="J38" s="75"/>
      <c r="K38" s="75"/>
      <c r="L38" s="75"/>
    </row>
    <row r="39" spans="1:12">
      <c r="A39" s="75"/>
      <c r="B39" s="75"/>
      <c r="C39" s="75"/>
      <c r="D39" s="75"/>
      <c r="E39" s="75"/>
      <c r="F39" s="75"/>
      <c r="G39" s="75"/>
      <c r="H39" s="75"/>
      <c r="I39" s="75"/>
      <c r="J39" s="75"/>
      <c r="K39" s="75"/>
      <c r="L39" s="75"/>
    </row>
    <row r="40" spans="1:12">
      <c r="A40" s="75"/>
      <c r="B40" s="75"/>
      <c r="C40" s="75"/>
      <c r="D40" s="75"/>
      <c r="E40" s="75"/>
      <c r="F40" s="75"/>
      <c r="G40" s="75"/>
      <c r="H40" s="75"/>
      <c r="I40" s="75"/>
      <c r="J40" s="75"/>
      <c r="K40" s="75"/>
      <c r="L40" s="75"/>
    </row>
    <row r="41" spans="1:12">
      <c r="A41" s="75"/>
      <c r="B41" s="75"/>
      <c r="C41" s="75"/>
      <c r="D41" s="75"/>
      <c r="E41" s="75"/>
      <c r="F41" s="75"/>
      <c r="G41" s="75"/>
      <c r="H41" s="75"/>
      <c r="I41" s="75"/>
      <c r="J41" s="75"/>
      <c r="K41" s="75"/>
      <c r="L41" s="75"/>
    </row>
    <row r="42" spans="1:12">
      <c r="A42" s="75"/>
      <c r="B42" s="75"/>
      <c r="C42" s="75"/>
      <c r="D42" s="75"/>
      <c r="E42" s="75"/>
      <c r="F42" s="75"/>
      <c r="G42" s="75"/>
      <c r="H42" s="75"/>
      <c r="I42" s="75"/>
      <c r="J42" s="75"/>
      <c r="K42" s="75"/>
      <c r="L42" s="75"/>
    </row>
    <row r="43" spans="1:12">
      <c r="A43" s="75"/>
      <c r="B43" s="75"/>
      <c r="C43" s="75"/>
      <c r="D43" s="75"/>
      <c r="E43" s="75"/>
      <c r="F43" s="75"/>
      <c r="G43" s="75"/>
      <c r="H43" s="75"/>
      <c r="I43" s="75"/>
      <c r="J43" s="75"/>
      <c r="K43" s="75"/>
      <c r="L43" s="75"/>
    </row>
    <row r="44" spans="1:12">
      <c r="A44" s="75"/>
      <c r="B44" s="75"/>
      <c r="C44" s="75"/>
      <c r="D44" s="75"/>
      <c r="E44" s="75"/>
      <c r="F44" s="75"/>
      <c r="G44" s="75"/>
      <c r="H44" s="75"/>
      <c r="I44" s="75"/>
      <c r="J44" s="75"/>
      <c r="K44" s="75"/>
      <c r="L44" s="75"/>
    </row>
    <row r="45" spans="1:12">
      <c r="A45" s="75"/>
      <c r="B45" s="75"/>
      <c r="C45" s="75"/>
      <c r="D45" s="75"/>
      <c r="E45" s="75"/>
      <c r="F45" s="75"/>
      <c r="G45" s="75"/>
      <c r="H45" s="75"/>
      <c r="I45" s="75"/>
      <c r="J45" s="75"/>
      <c r="K45" s="75"/>
      <c r="L45" s="75"/>
    </row>
    <row r="46" spans="1:12">
      <c r="A46" s="75"/>
      <c r="B46" s="75"/>
      <c r="C46" s="75"/>
      <c r="D46" s="75"/>
      <c r="E46" s="75"/>
      <c r="F46" s="75"/>
      <c r="G46" s="75"/>
      <c r="H46" s="75"/>
      <c r="I46" s="75"/>
      <c r="J46" s="75"/>
      <c r="K46" s="75"/>
      <c r="L46" s="75"/>
    </row>
    <row r="47" spans="1:12">
      <c r="A47" s="75"/>
      <c r="B47" s="75"/>
      <c r="C47" s="75"/>
      <c r="D47" s="75"/>
      <c r="E47" s="75"/>
      <c r="F47" s="75"/>
      <c r="G47" s="75"/>
      <c r="H47" s="75"/>
      <c r="I47" s="75"/>
      <c r="J47" s="75"/>
      <c r="K47" s="75"/>
      <c r="L47" s="75"/>
    </row>
    <row r="48" spans="1:12">
      <c r="A48" s="75"/>
      <c r="B48" s="75"/>
      <c r="C48" s="75"/>
      <c r="D48" s="75"/>
      <c r="E48" s="75"/>
      <c r="F48" s="75"/>
      <c r="G48" s="75"/>
      <c r="H48" s="75"/>
      <c r="I48" s="75"/>
      <c r="J48" s="75"/>
      <c r="K48" s="75"/>
      <c r="L48" s="75"/>
    </row>
    <row r="49" spans="1:12">
      <c r="A49" s="75"/>
      <c r="B49" s="75"/>
      <c r="C49" s="75"/>
      <c r="D49" s="75"/>
      <c r="E49" s="75"/>
      <c r="F49" s="75"/>
      <c r="G49" s="75"/>
      <c r="H49" s="75"/>
      <c r="I49" s="75"/>
      <c r="J49" s="75"/>
      <c r="K49" s="75"/>
      <c r="L49" s="75"/>
    </row>
    <row r="50" spans="1:12">
      <c r="A50" s="75"/>
      <c r="B50" s="75"/>
      <c r="C50" s="75"/>
      <c r="D50" s="75"/>
      <c r="E50" s="75"/>
      <c r="F50" s="75"/>
      <c r="G50" s="75"/>
      <c r="H50" s="75"/>
      <c r="I50" s="75"/>
      <c r="J50" s="75"/>
      <c r="K50" s="75"/>
      <c r="L50" s="75"/>
    </row>
    <row r="51" spans="1:12">
      <c r="A51" s="75"/>
      <c r="B51" s="75"/>
      <c r="C51" s="75"/>
      <c r="D51" s="75"/>
      <c r="E51" s="75"/>
      <c r="F51" s="75"/>
      <c r="G51" s="75"/>
      <c r="H51" s="75"/>
      <c r="I51" s="75"/>
      <c r="J51" s="75"/>
      <c r="K51" s="75"/>
      <c r="L51" s="75"/>
    </row>
    <row r="52" spans="1:12">
      <c r="A52" s="75"/>
      <c r="B52" s="75"/>
      <c r="C52" s="75"/>
      <c r="D52" s="75"/>
      <c r="E52" s="75"/>
      <c r="F52" s="75"/>
      <c r="G52" s="75"/>
      <c r="H52" s="75"/>
      <c r="I52" s="75"/>
      <c r="J52" s="75"/>
      <c r="K52" s="75"/>
      <c r="L52" s="75"/>
    </row>
    <row r="53" spans="1:12">
      <c r="A53" s="75"/>
      <c r="B53" s="75"/>
      <c r="C53" s="75"/>
      <c r="D53" s="75"/>
      <c r="E53" s="75"/>
      <c r="F53" s="75"/>
      <c r="G53" s="75"/>
      <c r="H53" s="75"/>
      <c r="I53" s="75"/>
      <c r="J53" s="75"/>
      <c r="K53" s="75"/>
      <c r="L53" s="75"/>
    </row>
    <row r="54" spans="1:12">
      <c r="A54" s="75"/>
      <c r="B54" s="75"/>
      <c r="C54" s="75"/>
      <c r="D54" s="75"/>
      <c r="E54" s="75"/>
      <c r="F54" s="75"/>
      <c r="G54" s="75"/>
      <c r="H54" s="75"/>
      <c r="I54" s="75"/>
      <c r="J54" s="75"/>
      <c r="K54" s="75"/>
      <c r="L54" s="75"/>
    </row>
    <row r="55" spans="1:12">
      <c r="A55" s="75"/>
      <c r="B55" s="75"/>
      <c r="C55" s="75"/>
      <c r="D55" s="75"/>
      <c r="E55" s="75"/>
      <c r="F55" s="75"/>
      <c r="G55" s="75"/>
      <c r="H55" s="75"/>
      <c r="I55" s="75"/>
      <c r="J55" s="75"/>
      <c r="K55" s="75"/>
      <c r="L55" s="75"/>
    </row>
    <row r="56" spans="1:12">
      <c r="A56" s="75"/>
      <c r="B56" s="75"/>
      <c r="C56" s="75"/>
      <c r="D56" s="75"/>
      <c r="E56" s="75"/>
      <c r="F56" s="75"/>
      <c r="G56" s="75"/>
      <c r="H56" s="75"/>
      <c r="I56" s="75"/>
      <c r="J56" s="75"/>
      <c r="K56" s="75"/>
      <c r="L56" s="75"/>
    </row>
    <row r="57" spans="1:12">
      <c r="A57" s="75"/>
      <c r="B57" s="75"/>
      <c r="C57" s="75"/>
      <c r="D57" s="75"/>
      <c r="E57" s="75"/>
      <c r="F57" s="75"/>
      <c r="G57" s="75"/>
      <c r="H57" s="75"/>
      <c r="I57" s="75"/>
      <c r="J57" s="75"/>
      <c r="K57" s="75"/>
      <c r="L57" s="75"/>
    </row>
    <row r="58" spans="1:12">
      <c r="A58" s="75"/>
      <c r="B58" s="75"/>
      <c r="C58" s="75"/>
      <c r="D58" s="75"/>
      <c r="E58" s="75"/>
      <c r="F58" s="75"/>
      <c r="G58" s="75"/>
      <c r="H58" s="75"/>
      <c r="I58" s="75"/>
      <c r="J58" s="75"/>
      <c r="K58" s="75"/>
      <c r="L58" s="75"/>
    </row>
    <row r="59" spans="1:12">
      <c r="A59" s="75"/>
      <c r="B59" s="75"/>
      <c r="C59" s="75"/>
      <c r="D59" s="75"/>
      <c r="E59" s="75"/>
      <c r="F59" s="75"/>
      <c r="G59" s="75"/>
      <c r="H59" s="75"/>
      <c r="I59" s="75"/>
      <c r="J59" s="75"/>
      <c r="K59" s="75"/>
      <c r="L59" s="75"/>
    </row>
    <row r="60" spans="1:12">
      <c r="A60" s="75"/>
      <c r="B60" s="75"/>
      <c r="C60" s="75"/>
      <c r="D60" s="75"/>
      <c r="E60" s="75"/>
      <c r="F60" s="75"/>
      <c r="G60" s="75"/>
      <c r="H60" s="75"/>
      <c r="I60" s="75"/>
      <c r="J60" s="75"/>
      <c r="K60" s="75"/>
      <c r="L60" s="75"/>
    </row>
    <row r="61" spans="1:12">
      <c r="A61" s="75"/>
      <c r="B61" s="75"/>
      <c r="C61" s="75"/>
      <c r="D61" s="75"/>
      <c r="E61" s="75"/>
      <c r="F61" s="75"/>
      <c r="G61" s="75"/>
      <c r="H61" s="75"/>
      <c r="I61" s="75"/>
      <c r="J61" s="75"/>
      <c r="K61" s="75"/>
      <c r="L61" s="75"/>
    </row>
    <row r="62" spans="1:12">
      <c r="A62" s="75"/>
      <c r="B62" s="75"/>
      <c r="C62" s="75"/>
      <c r="D62" s="75"/>
      <c r="E62" s="75"/>
      <c r="F62" s="75"/>
      <c r="G62" s="75"/>
      <c r="H62" s="75"/>
      <c r="I62" s="75"/>
      <c r="J62" s="75"/>
      <c r="K62" s="75"/>
      <c r="L62" s="75"/>
    </row>
    <row r="63" spans="1:12">
      <c r="A63" s="75"/>
      <c r="B63" s="75"/>
      <c r="C63" s="75"/>
      <c r="D63" s="75"/>
      <c r="E63" s="75"/>
      <c r="F63" s="75"/>
      <c r="G63" s="75"/>
      <c r="H63" s="75"/>
      <c r="I63" s="75"/>
      <c r="J63" s="75"/>
      <c r="K63" s="75"/>
      <c r="L63" s="75"/>
    </row>
    <row r="64" spans="1:12">
      <c r="A64" s="75"/>
      <c r="B64" s="75"/>
      <c r="C64" s="75"/>
      <c r="D64" s="75"/>
      <c r="E64" s="75"/>
      <c r="F64" s="75"/>
      <c r="G64" s="75"/>
      <c r="H64" s="75"/>
      <c r="I64" s="75"/>
      <c r="J64" s="75"/>
      <c r="K64" s="75"/>
      <c r="L64" s="75"/>
    </row>
    <row r="65" spans="1:12">
      <c r="A65" s="75"/>
      <c r="B65" s="75"/>
      <c r="C65" s="75"/>
      <c r="D65" s="75"/>
      <c r="E65" s="75"/>
      <c r="F65" s="75"/>
      <c r="G65" s="75"/>
      <c r="H65" s="75"/>
      <c r="I65" s="75"/>
      <c r="J65" s="75"/>
      <c r="K65" s="75"/>
      <c r="L65" s="75"/>
    </row>
    <row r="66" spans="1:12">
      <c r="A66" s="75"/>
      <c r="B66" s="75"/>
      <c r="C66" s="75"/>
      <c r="D66" s="75"/>
      <c r="E66" s="75"/>
      <c r="F66" s="75"/>
      <c r="G66" s="75"/>
      <c r="H66" s="75"/>
      <c r="I66" s="75"/>
      <c r="J66" s="75"/>
      <c r="K66" s="75"/>
      <c r="L66" s="75"/>
    </row>
    <row r="67" spans="1:12">
      <c r="A67" s="75"/>
      <c r="B67" s="75"/>
      <c r="C67" s="75"/>
      <c r="D67" s="75"/>
      <c r="E67" s="75"/>
      <c r="F67" s="75"/>
      <c r="G67" s="75"/>
      <c r="H67" s="75"/>
      <c r="I67" s="75"/>
      <c r="J67" s="75"/>
      <c r="K67" s="75"/>
      <c r="L67" s="75"/>
    </row>
    <row r="68" spans="1:12">
      <c r="A68" s="75"/>
      <c r="B68" s="75"/>
      <c r="C68" s="75"/>
      <c r="D68" s="75"/>
      <c r="E68" s="75"/>
      <c r="F68" s="75"/>
      <c r="G68" s="75"/>
      <c r="H68" s="75"/>
      <c r="I68" s="75"/>
      <c r="J68" s="75"/>
      <c r="K68" s="75"/>
      <c r="L68" s="75"/>
    </row>
    <row r="69" spans="1:12">
      <c r="A69" s="75"/>
      <c r="B69" s="75"/>
      <c r="C69" s="75"/>
      <c r="D69" s="75"/>
      <c r="E69" s="75"/>
      <c r="F69" s="75"/>
      <c r="G69" s="75"/>
      <c r="H69" s="75"/>
      <c r="I69" s="75"/>
      <c r="J69" s="75"/>
      <c r="K69" s="75"/>
      <c r="L69" s="75"/>
    </row>
    <row r="70" spans="1:12">
      <c r="A70" s="75"/>
      <c r="B70" s="75"/>
      <c r="C70" s="75"/>
      <c r="D70" s="75"/>
      <c r="E70" s="75"/>
      <c r="F70" s="75"/>
      <c r="G70" s="75"/>
      <c r="H70" s="75"/>
      <c r="I70" s="75"/>
      <c r="J70" s="75"/>
      <c r="K70" s="75"/>
      <c r="L70" s="75"/>
    </row>
    <row r="71" spans="1:12">
      <c r="A71" s="75"/>
      <c r="B71" s="75"/>
      <c r="C71" s="75"/>
      <c r="D71" s="75"/>
      <c r="E71" s="75"/>
      <c r="F71" s="75"/>
      <c r="G71" s="75"/>
      <c r="H71" s="75"/>
      <c r="I71" s="75"/>
      <c r="J71" s="75"/>
      <c r="K71" s="75"/>
      <c r="L71" s="75"/>
    </row>
    <row r="72" spans="1:12">
      <c r="A72" s="75"/>
      <c r="B72" s="75"/>
      <c r="C72" s="75"/>
      <c r="D72" s="75"/>
      <c r="E72" s="75"/>
      <c r="F72" s="75"/>
      <c r="G72" s="75"/>
      <c r="H72" s="75"/>
      <c r="I72" s="75"/>
      <c r="J72" s="75"/>
      <c r="K72" s="75"/>
      <c r="L72" s="75"/>
    </row>
    <row r="73" spans="1:12">
      <c r="A73" s="75"/>
      <c r="B73" s="75"/>
      <c r="C73" s="75"/>
      <c r="D73" s="75"/>
      <c r="E73" s="75"/>
      <c r="F73" s="75"/>
      <c r="G73" s="75"/>
      <c r="H73" s="75"/>
      <c r="I73" s="75"/>
      <c r="J73" s="75"/>
      <c r="K73" s="75"/>
      <c r="L73" s="75"/>
    </row>
    <row r="74" spans="1:12">
      <c r="A74" s="75"/>
      <c r="B74" s="75"/>
      <c r="C74" s="75"/>
      <c r="D74" s="75"/>
      <c r="E74" s="75"/>
      <c r="F74" s="75"/>
      <c r="G74" s="75"/>
      <c r="H74" s="75"/>
      <c r="I74" s="75"/>
      <c r="J74" s="75"/>
      <c r="K74" s="75"/>
      <c r="L74" s="75"/>
    </row>
    <row r="75" spans="1:12">
      <c r="A75" s="75"/>
      <c r="B75" s="75"/>
      <c r="C75" s="75"/>
      <c r="D75" s="75"/>
      <c r="E75" s="75"/>
      <c r="F75" s="75"/>
      <c r="G75" s="75"/>
      <c r="H75" s="75"/>
      <c r="I75" s="75"/>
      <c r="J75" s="75"/>
      <c r="K75" s="75"/>
      <c r="L75" s="75"/>
    </row>
    <row r="76" spans="1:12">
      <c r="A76" s="75"/>
      <c r="B76" s="75"/>
      <c r="C76" s="75"/>
      <c r="D76" s="75"/>
      <c r="E76" s="75"/>
      <c r="F76" s="75"/>
      <c r="G76" s="75"/>
      <c r="H76" s="75"/>
      <c r="I76" s="75"/>
      <c r="J76" s="75"/>
      <c r="K76" s="75"/>
      <c r="L76" s="75"/>
    </row>
    <row r="77" spans="1:12">
      <c r="A77" s="75"/>
      <c r="B77" s="75"/>
      <c r="C77" s="75"/>
      <c r="D77" s="75"/>
      <c r="E77" s="75"/>
      <c r="F77" s="75"/>
      <c r="G77" s="75"/>
      <c r="H77" s="75"/>
      <c r="I77" s="75"/>
      <c r="J77" s="75"/>
      <c r="K77" s="75"/>
      <c r="L77" s="75"/>
    </row>
    <row r="78" spans="1:12">
      <c r="A78" s="75"/>
      <c r="B78" s="75"/>
      <c r="C78" s="75"/>
      <c r="D78" s="75"/>
      <c r="E78" s="75"/>
      <c r="F78" s="75"/>
      <c r="G78" s="75"/>
      <c r="H78" s="75"/>
      <c r="I78" s="75"/>
      <c r="J78" s="75"/>
      <c r="K78" s="75"/>
      <c r="L78" s="75"/>
    </row>
    <row r="79" spans="1:12">
      <c r="A79" s="75"/>
      <c r="B79" s="75"/>
      <c r="C79" s="75"/>
      <c r="D79" s="75"/>
      <c r="E79" s="75"/>
      <c r="F79" s="75"/>
      <c r="G79" s="75"/>
      <c r="H79" s="75"/>
      <c r="I79" s="75"/>
      <c r="J79" s="75"/>
      <c r="K79" s="75"/>
      <c r="L79" s="75"/>
    </row>
    <row r="80" spans="1:12">
      <c r="A80" s="75"/>
      <c r="B80" s="75"/>
      <c r="C80" s="75"/>
      <c r="D80" s="75"/>
      <c r="E80" s="75"/>
      <c r="F80" s="75"/>
      <c r="G80" s="75"/>
      <c r="H80" s="75"/>
      <c r="I80" s="75"/>
      <c r="J80" s="75"/>
      <c r="K80" s="75"/>
      <c r="L80" s="75"/>
    </row>
    <row r="81" spans="1:12">
      <c r="A81" s="75"/>
      <c r="B81" s="75"/>
      <c r="C81" s="75"/>
      <c r="D81" s="75"/>
      <c r="E81" s="75"/>
      <c r="F81" s="75"/>
      <c r="G81" s="75"/>
      <c r="H81" s="75"/>
      <c r="I81" s="75"/>
      <c r="J81" s="75"/>
      <c r="K81" s="75"/>
      <c r="L81" s="75"/>
    </row>
    <row r="82" spans="1:12">
      <c r="A82" s="75"/>
      <c r="B82" s="75"/>
      <c r="C82" s="75"/>
      <c r="D82" s="75"/>
      <c r="E82" s="75"/>
      <c r="F82" s="75"/>
      <c r="G82" s="75"/>
      <c r="H82" s="75"/>
      <c r="I82" s="75"/>
      <c r="J82" s="75"/>
      <c r="K82" s="75"/>
      <c r="L82" s="75"/>
    </row>
    <row r="83" spans="1:12">
      <c r="A83" s="75"/>
      <c r="B83" s="75"/>
      <c r="C83" s="75"/>
      <c r="D83" s="75"/>
      <c r="E83" s="75"/>
      <c r="F83" s="75"/>
      <c r="G83" s="75"/>
      <c r="H83" s="75"/>
      <c r="I83" s="75"/>
      <c r="J83" s="75"/>
      <c r="K83" s="75"/>
      <c r="L83" s="75"/>
    </row>
    <row r="84" spans="1:12">
      <c r="A84" s="75"/>
      <c r="B84" s="75"/>
      <c r="C84" s="75"/>
      <c r="D84" s="75"/>
      <c r="E84" s="75"/>
      <c r="F84" s="75"/>
      <c r="G84" s="75"/>
      <c r="H84" s="75"/>
      <c r="I84" s="75"/>
      <c r="J84" s="75"/>
      <c r="K84" s="75"/>
      <c r="L84" s="75"/>
    </row>
    <row r="85" spans="1:12">
      <c r="A85" s="75"/>
      <c r="B85" s="75"/>
      <c r="C85" s="75"/>
      <c r="D85" s="75"/>
      <c r="E85" s="75"/>
      <c r="F85" s="75"/>
      <c r="G85" s="75"/>
      <c r="H85" s="75"/>
      <c r="I85" s="75"/>
      <c r="J85" s="75"/>
      <c r="K85" s="75"/>
      <c r="L85" s="75"/>
    </row>
    <row r="86" spans="1:12">
      <c r="A86" s="75"/>
      <c r="B86" s="75"/>
      <c r="C86" s="75"/>
      <c r="D86" s="75"/>
      <c r="E86" s="75"/>
      <c r="F86" s="75"/>
      <c r="G86" s="75"/>
      <c r="H86" s="75"/>
      <c r="I86" s="75"/>
      <c r="J86" s="75"/>
      <c r="K86" s="75"/>
      <c r="L86" s="75"/>
    </row>
    <row r="87" spans="1:12">
      <c r="A87" s="75"/>
      <c r="B87" s="75"/>
      <c r="C87" s="75"/>
      <c r="D87" s="75"/>
      <c r="E87" s="75"/>
      <c r="F87" s="75"/>
      <c r="G87" s="75"/>
      <c r="H87" s="75"/>
      <c r="I87" s="75"/>
      <c r="J87" s="75"/>
      <c r="K87" s="75"/>
      <c r="L87" s="75"/>
    </row>
    <row r="88" spans="1:12">
      <c r="A88" s="75"/>
      <c r="B88" s="75"/>
      <c r="C88" s="75"/>
      <c r="D88" s="75"/>
      <c r="E88" s="75"/>
      <c r="F88" s="75"/>
      <c r="G88" s="75"/>
      <c r="H88" s="75"/>
      <c r="I88" s="75"/>
      <c r="J88" s="75"/>
      <c r="K88" s="75"/>
      <c r="L88" s="75"/>
    </row>
    <row r="89" spans="1:12">
      <c r="A89" s="75"/>
      <c r="B89" s="75"/>
      <c r="C89" s="75"/>
      <c r="D89" s="75"/>
      <c r="E89" s="75"/>
      <c r="F89" s="75"/>
      <c r="G89" s="75"/>
      <c r="H89" s="75"/>
      <c r="I89" s="75"/>
      <c r="J89" s="75"/>
      <c r="K89" s="75"/>
      <c r="L89" s="75"/>
    </row>
    <row r="90" spans="1:12">
      <c r="A90" s="75"/>
      <c r="B90" s="75"/>
      <c r="C90" s="75"/>
      <c r="D90" s="75"/>
      <c r="E90" s="75"/>
      <c r="F90" s="75"/>
      <c r="G90" s="75"/>
      <c r="H90" s="75"/>
      <c r="I90" s="75"/>
      <c r="J90" s="75"/>
      <c r="K90" s="75"/>
      <c r="L90" s="75"/>
    </row>
    <row r="91" spans="1:12">
      <c r="A91" s="75"/>
      <c r="B91" s="75"/>
      <c r="C91" s="75"/>
      <c r="D91" s="75"/>
      <c r="E91" s="75"/>
      <c r="F91" s="75"/>
      <c r="G91" s="75"/>
      <c r="H91" s="75"/>
      <c r="I91" s="75"/>
      <c r="J91" s="75"/>
      <c r="K91" s="75"/>
      <c r="L91" s="75"/>
    </row>
    <row r="92" spans="1:12">
      <c r="A92" s="75"/>
      <c r="B92" s="75"/>
      <c r="C92" s="75"/>
      <c r="D92" s="75"/>
      <c r="E92" s="75"/>
      <c r="F92" s="75"/>
      <c r="G92" s="75"/>
      <c r="H92" s="75"/>
      <c r="I92" s="75"/>
      <c r="J92" s="75"/>
      <c r="K92" s="75"/>
      <c r="L92" s="75"/>
    </row>
    <row r="93" spans="1:12">
      <c r="A93" s="75"/>
      <c r="B93" s="75"/>
      <c r="C93" s="75"/>
      <c r="D93" s="75"/>
      <c r="E93" s="75"/>
      <c r="F93" s="75"/>
      <c r="G93" s="75"/>
      <c r="H93" s="75"/>
      <c r="I93" s="75"/>
      <c r="J93" s="75"/>
      <c r="K93" s="75"/>
      <c r="L93" s="75"/>
    </row>
    <row r="94" spans="1:12">
      <c r="A94" s="75"/>
      <c r="B94" s="75"/>
      <c r="C94" s="75"/>
      <c r="D94" s="75"/>
      <c r="E94" s="75"/>
      <c r="F94" s="75"/>
      <c r="G94" s="75"/>
      <c r="H94" s="75"/>
      <c r="I94" s="75"/>
      <c r="J94" s="75"/>
      <c r="K94" s="75"/>
      <c r="L94" s="75"/>
    </row>
    <row r="95" spans="1:12">
      <c r="A95" s="75"/>
      <c r="B95" s="75"/>
      <c r="C95" s="75"/>
      <c r="D95" s="75"/>
      <c r="E95" s="75"/>
      <c r="F95" s="75"/>
      <c r="G95" s="75"/>
      <c r="H95" s="75"/>
      <c r="I95" s="75"/>
      <c r="J95" s="75"/>
      <c r="K95" s="75"/>
      <c r="L95" s="75"/>
    </row>
    <row r="96" spans="1:12">
      <c r="A96" s="75"/>
      <c r="B96" s="75"/>
      <c r="C96" s="75"/>
      <c r="D96" s="75"/>
      <c r="E96" s="75"/>
      <c r="F96" s="75"/>
      <c r="G96" s="75"/>
      <c r="H96" s="75"/>
      <c r="I96" s="75"/>
      <c r="J96" s="75"/>
      <c r="K96" s="75"/>
      <c r="L96" s="75"/>
    </row>
    <row r="97" spans="1:12">
      <c r="A97" s="75"/>
      <c r="B97" s="75"/>
      <c r="C97" s="75"/>
      <c r="D97" s="75"/>
      <c r="E97" s="75"/>
      <c r="F97" s="75"/>
      <c r="G97" s="75"/>
      <c r="H97" s="75"/>
      <c r="I97" s="75"/>
      <c r="J97" s="75"/>
      <c r="K97" s="75"/>
      <c r="L97" s="75"/>
    </row>
    <row r="98" spans="1:12">
      <c r="A98" s="75"/>
      <c r="B98" s="75"/>
      <c r="C98" s="75"/>
      <c r="D98" s="75"/>
      <c r="E98" s="75"/>
      <c r="F98" s="75"/>
      <c r="G98" s="75"/>
      <c r="H98" s="75"/>
      <c r="I98" s="75"/>
      <c r="J98" s="75"/>
      <c r="K98" s="75"/>
      <c r="L98" s="75"/>
    </row>
    <row r="99" spans="1:12">
      <c r="A99" s="75"/>
      <c r="B99" s="75"/>
      <c r="C99" s="75"/>
      <c r="D99" s="75"/>
      <c r="E99" s="75"/>
      <c r="F99" s="75"/>
      <c r="G99" s="75"/>
      <c r="H99" s="75"/>
      <c r="I99" s="75"/>
      <c r="J99" s="75"/>
      <c r="K99" s="75"/>
      <c r="L99" s="75"/>
    </row>
    <row r="100" spans="1:12">
      <c r="A100" s="75"/>
      <c r="B100" s="75"/>
      <c r="C100" s="75"/>
      <c r="D100" s="75"/>
      <c r="E100" s="75"/>
      <c r="F100" s="75"/>
      <c r="G100" s="75"/>
      <c r="H100" s="75"/>
      <c r="I100" s="75"/>
      <c r="J100" s="75"/>
      <c r="K100" s="75"/>
      <c r="L100" s="75"/>
    </row>
    <row r="101" spans="1:12">
      <c r="A101" s="75"/>
      <c r="B101" s="75"/>
      <c r="C101" s="75"/>
      <c r="D101" s="75"/>
      <c r="E101" s="75"/>
      <c r="F101" s="75"/>
      <c r="G101" s="75"/>
      <c r="H101" s="75"/>
      <c r="I101" s="75"/>
      <c r="J101" s="75"/>
      <c r="K101" s="75"/>
      <c r="L101" s="75"/>
    </row>
    <row r="102" spans="1:12">
      <c r="A102" s="75"/>
      <c r="B102" s="75"/>
      <c r="C102" s="75"/>
      <c r="D102" s="75"/>
      <c r="E102" s="75"/>
      <c r="F102" s="75"/>
      <c r="G102" s="75"/>
      <c r="H102" s="75"/>
      <c r="I102" s="75"/>
      <c r="J102" s="75"/>
      <c r="K102" s="75"/>
      <c r="L102" s="75"/>
    </row>
    <row r="103" spans="1:12">
      <c r="A103" s="75"/>
      <c r="B103" s="75"/>
      <c r="C103" s="75"/>
      <c r="D103" s="75"/>
      <c r="E103" s="75"/>
      <c r="F103" s="75"/>
      <c r="G103" s="75"/>
      <c r="H103" s="75"/>
      <c r="I103" s="75"/>
      <c r="J103" s="75"/>
      <c r="K103" s="75"/>
      <c r="L103" s="75"/>
    </row>
    <row r="104" spans="1:12">
      <c r="A104" s="75"/>
      <c r="B104" s="75"/>
      <c r="C104" s="75"/>
      <c r="D104" s="75"/>
      <c r="E104" s="75"/>
      <c r="F104" s="75"/>
      <c r="G104" s="75"/>
      <c r="H104" s="75"/>
      <c r="I104" s="75"/>
      <c r="J104" s="75"/>
      <c r="K104" s="75"/>
      <c r="L104" s="75"/>
    </row>
    <row r="105" spans="1:12">
      <c r="A105" s="75"/>
      <c r="B105" s="75"/>
      <c r="C105" s="75"/>
      <c r="D105" s="75"/>
      <c r="E105" s="75"/>
      <c r="F105" s="75"/>
      <c r="G105" s="75"/>
      <c r="H105" s="75"/>
      <c r="I105" s="75"/>
      <c r="J105" s="75"/>
      <c r="K105" s="75"/>
      <c r="L105" s="75"/>
    </row>
    <row r="106" spans="1:12">
      <c r="A106" s="75"/>
      <c r="B106" s="75"/>
      <c r="C106" s="75"/>
      <c r="D106" s="75"/>
      <c r="E106" s="75"/>
      <c r="F106" s="75"/>
      <c r="G106" s="75"/>
      <c r="H106" s="75"/>
      <c r="I106" s="75"/>
      <c r="J106" s="75"/>
      <c r="K106" s="75"/>
      <c r="L106" s="75"/>
    </row>
    <row r="107" spans="1:12">
      <c r="A107" s="75"/>
      <c r="B107" s="75"/>
      <c r="C107" s="75"/>
      <c r="D107" s="75"/>
      <c r="E107" s="75"/>
      <c r="F107" s="75"/>
      <c r="G107" s="75"/>
      <c r="H107" s="75"/>
      <c r="I107" s="75"/>
      <c r="J107" s="75"/>
      <c r="K107" s="75"/>
      <c r="L107" s="75"/>
    </row>
    <row r="108" spans="1:12">
      <c r="A108" s="75"/>
      <c r="B108" s="75"/>
      <c r="C108" s="75"/>
      <c r="D108" s="75"/>
      <c r="E108" s="75"/>
      <c r="F108" s="75"/>
      <c r="G108" s="75"/>
      <c r="H108" s="75"/>
      <c r="I108" s="75"/>
      <c r="J108" s="75"/>
      <c r="K108" s="75"/>
      <c r="L108" s="75"/>
    </row>
    <row r="109" spans="1:12">
      <c r="A109" s="75"/>
      <c r="B109" s="75"/>
      <c r="C109" s="75"/>
      <c r="D109" s="75"/>
      <c r="E109" s="75"/>
      <c r="F109" s="75"/>
      <c r="G109" s="75"/>
      <c r="H109" s="75"/>
      <c r="I109" s="75"/>
      <c r="J109" s="75"/>
      <c r="K109" s="75"/>
      <c r="L109" s="75"/>
    </row>
    <row r="110" spans="1:12">
      <c r="A110" s="75"/>
      <c r="B110" s="75"/>
      <c r="C110" s="75"/>
      <c r="D110" s="75"/>
      <c r="E110" s="75"/>
      <c r="F110" s="75"/>
      <c r="G110" s="75"/>
      <c r="H110" s="75"/>
      <c r="I110" s="75"/>
      <c r="J110" s="75"/>
      <c r="K110" s="75"/>
      <c r="L110" s="75"/>
    </row>
    <row r="111" spans="1:12">
      <c r="A111" s="75"/>
      <c r="B111" s="75"/>
      <c r="C111" s="75"/>
      <c r="D111" s="75"/>
      <c r="E111" s="75"/>
      <c r="F111" s="75"/>
      <c r="G111" s="75"/>
      <c r="H111" s="75"/>
      <c r="I111" s="75"/>
      <c r="J111" s="75"/>
      <c r="K111" s="75"/>
      <c r="L111" s="75"/>
    </row>
    <row r="112" spans="1:12">
      <c r="A112" s="75"/>
      <c r="B112" s="75"/>
      <c r="C112" s="75"/>
      <c r="D112" s="75"/>
      <c r="E112" s="75"/>
      <c r="F112" s="75"/>
      <c r="G112" s="75"/>
      <c r="H112" s="75"/>
      <c r="I112" s="75"/>
      <c r="J112" s="75"/>
      <c r="K112" s="75"/>
      <c r="L112" s="75"/>
    </row>
    <row r="113" spans="1:12">
      <c r="A113" s="75"/>
      <c r="B113" s="75"/>
      <c r="C113" s="75"/>
      <c r="D113" s="75"/>
      <c r="E113" s="75"/>
      <c r="F113" s="75"/>
      <c r="G113" s="75"/>
      <c r="H113" s="75"/>
      <c r="I113" s="75"/>
      <c r="J113" s="75"/>
      <c r="K113" s="75"/>
      <c r="L113" s="75"/>
    </row>
    <row r="114" spans="1:12">
      <c r="A114" s="75"/>
      <c r="B114" s="75"/>
      <c r="C114" s="75"/>
      <c r="D114" s="75"/>
      <c r="E114" s="75"/>
      <c r="F114" s="75"/>
      <c r="G114" s="75"/>
      <c r="H114" s="75"/>
      <c r="I114" s="75"/>
      <c r="J114" s="75"/>
      <c r="K114" s="75"/>
      <c r="L114" s="75"/>
    </row>
    <row r="115" spans="1:12">
      <c r="A115" s="75"/>
      <c r="B115" s="75"/>
      <c r="C115" s="75"/>
      <c r="D115" s="75"/>
      <c r="E115" s="75"/>
      <c r="F115" s="75"/>
      <c r="G115" s="75"/>
      <c r="H115" s="75"/>
      <c r="I115" s="75"/>
      <c r="J115" s="75"/>
      <c r="K115" s="75"/>
      <c r="L115" s="75"/>
    </row>
    <row r="116" spans="1:12">
      <c r="A116" s="75"/>
      <c r="B116" s="75"/>
      <c r="C116" s="75"/>
      <c r="D116" s="75"/>
      <c r="E116" s="75"/>
      <c r="F116" s="75"/>
      <c r="G116" s="75"/>
      <c r="H116" s="75"/>
      <c r="I116" s="75"/>
      <c r="J116" s="75"/>
      <c r="K116" s="75"/>
      <c r="L116" s="75"/>
    </row>
    <row r="117" spans="1:12">
      <c r="A117" s="75"/>
      <c r="B117" s="75"/>
      <c r="C117" s="75"/>
      <c r="D117" s="75"/>
      <c r="E117" s="75"/>
      <c r="F117" s="75"/>
      <c r="G117" s="75"/>
      <c r="H117" s="75"/>
      <c r="I117" s="75"/>
      <c r="J117" s="75"/>
      <c r="K117" s="75"/>
      <c r="L117" s="75"/>
    </row>
    <row r="118" spans="1:12">
      <c r="A118" s="75"/>
      <c r="B118" s="75"/>
      <c r="C118" s="75"/>
      <c r="D118" s="75"/>
      <c r="E118" s="75"/>
      <c r="F118" s="75"/>
      <c r="G118" s="75"/>
      <c r="H118" s="75"/>
      <c r="I118" s="75"/>
      <c r="J118" s="75"/>
      <c r="K118" s="75"/>
      <c r="L118" s="75"/>
    </row>
    <row r="119" spans="1:12">
      <c r="A119" s="75"/>
      <c r="B119" s="75"/>
      <c r="C119" s="75"/>
      <c r="D119" s="75"/>
      <c r="E119" s="75"/>
      <c r="F119" s="75"/>
      <c r="G119" s="75"/>
      <c r="H119" s="75"/>
      <c r="I119" s="75"/>
      <c r="J119" s="75"/>
      <c r="K119" s="75"/>
      <c r="L119" s="75"/>
    </row>
  </sheetData>
  <mergeCells count="33">
    <mergeCell ref="A20:B20"/>
    <mergeCell ref="A21:B21"/>
    <mergeCell ref="A22:B22"/>
    <mergeCell ref="A35:D35"/>
    <mergeCell ref="A23:H23"/>
    <mergeCell ref="A24:H24"/>
    <mergeCell ref="B25:H25"/>
    <mergeCell ref="A27:H27"/>
    <mergeCell ref="A29:L29"/>
    <mergeCell ref="A30:L30"/>
    <mergeCell ref="A31:L31"/>
    <mergeCell ref="A32:L32"/>
    <mergeCell ref="F33:I33"/>
    <mergeCell ref="A34:L34"/>
    <mergeCell ref="K25:L25"/>
    <mergeCell ref="K28:L28"/>
    <mergeCell ref="A19:B19"/>
    <mergeCell ref="A13:B13"/>
    <mergeCell ref="A14:B14"/>
    <mergeCell ref="A15:B15"/>
    <mergeCell ref="F16:H16"/>
    <mergeCell ref="A17:B17"/>
    <mergeCell ref="A18:B18"/>
    <mergeCell ref="A12:B12"/>
    <mergeCell ref="G1:H1"/>
    <mergeCell ref="A2:C2"/>
    <mergeCell ref="F2:H2"/>
    <mergeCell ref="A5:C5"/>
    <mergeCell ref="E5:H5"/>
    <mergeCell ref="A6:C6"/>
    <mergeCell ref="F9:H9"/>
    <mergeCell ref="A10:B10"/>
    <mergeCell ref="A11:B11"/>
  </mergeCells>
  <dataValidations count="4">
    <dataValidation type="list" allowBlank="1" showInputMessage="1" showErrorMessage="1" sqref="C1" xr:uid="{00000000-0002-0000-5300-000000000000}">
      <formula1>"60,61,62,63,64,65,66,67,68,69,70,71,72,73,74,75,76,77,78,79,80"</formula1>
    </dataValidation>
    <dataValidation type="list" operator="equal" allowBlank="1" showInputMessage="1" showErrorMessage="1" sqref="B1" xr:uid="{00000000-0002-0000-5300-000001000000}">
      <formula1>"60,61,62,63,64,65,66,67,68,69,70,71,72,73,74,75,76,77,78,79,80"</formula1>
    </dataValidation>
    <dataValidation type="list" allowBlank="1" showInputMessage="1" showErrorMessage="1" sqref="B7:B8" xr:uid="{00000000-0002-0000-5300-000002000000}">
      <formula1>"62,63,64,65,66,67,68,69,70"</formula1>
    </dataValidation>
    <dataValidation type="list" allowBlank="1" showInputMessage="1" showErrorMessage="1" sqref="E10:E15 E17:E22" xr:uid="{00000000-0002-0000-5300-000003000000}">
      <formula1>"58,59,60,61,62,63,64,65,66,67,68,69,70,71,72,73,74,75,76,77,78,79,80"</formula1>
    </dataValidation>
  </dataValidation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2135"/>
      <c r="E1" s="2135"/>
      <c r="F1" s="2135"/>
      <c r="G1" s="2135"/>
      <c r="H1" s="2135"/>
      <c r="I1" s="2135"/>
      <c r="J1" s="2135"/>
      <c r="K1" s="2135"/>
      <c r="L1" s="2137" t="s">
        <v>713</v>
      </c>
      <c r="M1" s="2137"/>
      <c r="N1" s="499">
        <v>75000</v>
      </c>
    </row>
    <row r="2" spans="1:25" ht="20.3">
      <c r="A2" s="302"/>
      <c r="B2" s="304"/>
      <c r="C2" s="329"/>
      <c r="D2" s="498"/>
      <c r="E2" s="2138" t="str" cm="1">
        <f t="array" ref="E2:K2">'AS with changes'!E3:K3</f>
        <v>William C Ross and Catherine A Ross</v>
      </c>
      <c r="F2" s="2139">
        <v>0</v>
      </c>
      <c r="G2" s="2139">
        <v>0</v>
      </c>
      <c r="H2" s="2139">
        <v>0</v>
      </c>
      <c r="I2" s="2139">
        <v>0</v>
      </c>
      <c r="J2" s="2139">
        <v>0</v>
      </c>
      <c r="K2" s="2139">
        <v>0</v>
      </c>
      <c r="L2" s="500"/>
      <c r="M2" s="498"/>
      <c r="N2" s="501">
        <f>'AS with changes'!G1</f>
        <v>42677</v>
      </c>
    </row>
    <row r="3" spans="1:25" ht="24.05" customHeight="1">
      <c r="A3" s="302"/>
      <c r="B3" s="304"/>
      <c r="C3" s="2140" t="s">
        <v>803</v>
      </c>
      <c r="D3" s="2140"/>
      <c r="E3" s="2140"/>
      <c r="F3" s="2140"/>
      <c r="G3" s="2140"/>
      <c r="H3" s="2140"/>
      <c r="I3" s="2140"/>
      <c r="J3" s="2140"/>
      <c r="K3" s="2140"/>
      <c r="L3" s="2140"/>
      <c r="M3" s="2140"/>
      <c r="N3" s="502">
        <v>75000</v>
      </c>
    </row>
    <row r="4" spans="1:25" ht="19">
      <c r="A4" s="302"/>
      <c r="B4" s="304"/>
      <c r="C4" s="2079" t="s">
        <v>836</v>
      </c>
      <c r="D4" s="2080"/>
      <c r="E4" s="2080"/>
      <c r="F4" s="2080"/>
      <c r="G4" s="2080"/>
      <c r="H4" s="2080"/>
      <c r="I4" s="2080"/>
      <c r="J4" s="2080"/>
      <c r="K4" s="2080"/>
      <c r="L4" s="2080"/>
      <c r="M4" s="2080"/>
      <c r="N4" s="381"/>
    </row>
    <row r="5" spans="1:25" ht="15.05">
      <c r="A5" s="302"/>
      <c r="B5" s="304"/>
      <c r="C5" s="300"/>
      <c r="D5" s="2141"/>
      <c r="E5" s="2141"/>
      <c r="F5" s="2141"/>
      <c r="G5" s="2141"/>
      <c r="H5" s="2141"/>
      <c r="I5" s="2141"/>
      <c r="J5" s="2141"/>
      <c r="K5" s="2141"/>
      <c r="L5" s="2141"/>
      <c r="M5" s="331">
        <f>'AS with changes'!M4</f>
        <v>19109</v>
      </c>
      <c r="N5" s="335">
        <f>'AS with changes'!O4</f>
        <v>64</v>
      </c>
    </row>
    <row r="6" spans="1:25" ht="15.05">
      <c r="A6" s="302"/>
      <c r="B6" s="304"/>
      <c r="C6" s="300"/>
      <c r="D6" s="2135"/>
      <c r="E6" s="2135"/>
      <c r="F6" s="2135"/>
      <c r="G6" s="2135"/>
      <c r="H6" s="2135"/>
      <c r="I6" s="2135"/>
      <c r="J6" s="2135"/>
      <c r="K6" s="2135"/>
      <c r="L6" s="2135"/>
      <c r="M6" s="439">
        <f>'AS with changes'!M5</f>
        <v>20124</v>
      </c>
      <c r="N6" s="336">
        <f>'AS with changes'!O5</f>
        <v>61</v>
      </c>
    </row>
    <row r="7" spans="1:25">
      <c r="A7" s="305"/>
      <c r="B7" s="304"/>
      <c r="C7" s="300"/>
      <c r="D7" s="2136"/>
      <c r="E7" s="2136"/>
      <c r="F7" s="2136"/>
      <c r="G7" s="2136"/>
      <c r="H7" s="2136"/>
      <c r="I7" s="2136"/>
      <c r="J7" s="2136"/>
      <c r="K7" s="2136"/>
      <c r="L7" s="2136"/>
      <c r="M7" s="505"/>
      <c r="N7" s="504"/>
    </row>
    <row r="8" spans="1:25" s="37" customFormat="1" ht="100" customHeight="1">
      <c r="A8" s="212" t="s">
        <v>26</v>
      </c>
      <c r="B8" s="212" t="s">
        <v>591</v>
      </c>
      <c r="C8" s="212" t="s">
        <v>592</v>
      </c>
      <c r="D8" s="374" t="s">
        <v>383</v>
      </c>
      <c r="E8" s="139" t="s">
        <v>524</v>
      </c>
      <c r="F8" s="136" t="s">
        <v>148</v>
      </c>
      <c r="G8" s="139" t="s">
        <v>154</v>
      </c>
      <c r="H8" s="479" t="s">
        <v>837</v>
      </c>
      <c r="I8" s="478" t="s">
        <v>838</v>
      </c>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839</v>
      </c>
      <c r="I10" s="440" t="s">
        <v>839</v>
      </c>
      <c r="J10" s="217"/>
      <c r="K10" s="217"/>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511">
        <f t="shared" si="1"/>
        <v>66</v>
      </c>
      <c r="C13" s="119">
        <f t="shared" si="1"/>
        <v>63</v>
      </c>
      <c r="D13" s="190">
        <v>27300</v>
      </c>
      <c r="E13" s="190">
        <v>28152</v>
      </c>
      <c r="F13" s="219">
        <v>0</v>
      </c>
      <c r="G13" s="219">
        <v>0</v>
      </c>
      <c r="H13" s="510">
        <v>7553.96</v>
      </c>
      <c r="I13" s="510">
        <v>7553.96</v>
      </c>
      <c r="J13" s="219">
        <v>0</v>
      </c>
      <c r="K13" s="219">
        <v>0</v>
      </c>
      <c r="L13" s="219">
        <v>0</v>
      </c>
      <c r="M13" s="219">
        <v>0</v>
      </c>
      <c r="N13" s="45">
        <f t="shared" si="0"/>
        <v>70559.92</v>
      </c>
    </row>
    <row r="14" spans="1:25">
      <c r="A14" s="119">
        <f t="shared" si="1"/>
        <v>2019</v>
      </c>
      <c r="B14" s="137">
        <f t="shared" si="1"/>
        <v>67</v>
      </c>
      <c r="C14" s="137">
        <f t="shared" si="1"/>
        <v>64</v>
      </c>
      <c r="D14" s="190">
        <v>27300</v>
      </c>
      <c r="E14" s="190">
        <v>28152</v>
      </c>
      <c r="F14" s="219">
        <v>0</v>
      </c>
      <c r="G14" s="219">
        <v>0</v>
      </c>
      <c r="H14" s="510">
        <v>7553.96</v>
      </c>
      <c r="I14" s="510">
        <v>7553.96</v>
      </c>
      <c r="J14" s="219">
        <v>0</v>
      </c>
      <c r="K14" s="219">
        <v>0</v>
      </c>
      <c r="L14" s="219">
        <v>0</v>
      </c>
      <c r="M14" s="219">
        <v>0</v>
      </c>
      <c r="N14" s="45">
        <f t="shared" si="0"/>
        <v>70559.92</v>
      </c>
    </row>
    <row r="15" spans="1:25">
      <c r="A15" s="119">
        <f t="shared" si="1"/>
        <v>2020</v>
      </c>
      <c r="B15" s="119">
        <f t="shared" si="1"/>
        <v>68</v>
      </c>
      <c r="C15" s="119">
        <f t="shared" si="1"/>
        <v>65</v>
      </c>
      <c r="D15" s="190">
        <v>27300</v>
      </c>
      <c r="E15" s="190">
        <v>28152</v>
      </c>
      <c r="F15" s="219">
        <v>0</v>
      </c>
      <c r="G15" s="219">
        <v>0</v>
      </c>
      <c r="H15" s="510">
        <v>7553.96</v>
      </c>
      <c r="I15" s="510">
        <v>7553.96</v>
      </c>
      <c r="J15" s="219">
        <v>0</v>
      </c>
      <c r="K15" s="219">
        <v>0</v>
      </c>
      <c r="L15" s="219">
        <v>0</v>
      </c>
      <c r="M15" s="219">
        <v>0</v>
      </c>
      <c r="N15" s="375">
        <f t="shared" si="0"/>
        <v>70559.92</v>
      </c>
    </row>
    <row r="16" spans="1:25">
      <c r="A16" s="119">
        <f t="shared" si="1"/>
        <v>2021</v>
      </c>
      <c r="B16" s="119">
        <f t="shared" si="1"/>
        <v>69</v>
      </c>
      <c r="C16" s="119">
        <f t="shared" si="1"/>
        <v>66</v>
      </c>
      <c r="D16" s="190">
        <v>27300</v>
      </c>
      <c r="E16" s="190">
        <v>28152</v>
      </c>
      <c r="F16" s="219">
        <v>0</v>
      </c>
      <c r="G16" s="219">
        <v>0</v>
      </c>
      <c r="H16" s="510">
        <v>7553.96</v>
      </c>
      <c r="I16" s="510">
        <v>7553.96</v>
      </c>
      <c r="J16" s="219">
        <v>0</v>
      </c>
      <c r="K16" s="219">
        <v>0</v>
      </c>
      <c r="L16" s="219">
        <v>0</v>
      </c>
      <c r="M16" s="219">
        <v>0</v>
      </c>
      <c r="N16" s="45">
        <f t="shared" si="0"/>
        <v>70559.92</v>
      </c>
    </row>
    <row r="17" spans="1:14">
      <c r="A17" s="119">
        <f t="shared" si="1"/>
        <v>2022</v>
      </c>
      <c r="B17" s="119">
        <f t="shared" si="1"/>
        <v>70</v>
      </c>
      <c r="C17" s="119">
        <f t="shared" si="1"/>
        <v>67</v>
      </c>
      <c r="D17" s="190">
        <v>27300</v>
      </c>
      <c r="E17" s="190">
        <v>28152</v>
      </c>
      <c r="F17" s="219">
        <v>0</v>
      </c>
      <c r="G17" s="219">
        <v>0</v>
      </c>
      <c r="H17" s="510">
        <v>7553.96</v>
      </c>
      <c r="I17" s="510">
        <v>7553.96</v>
      </c>
      <c r="J17" s="219">
        <v>0</v>
      </c>
      <c r="K17" s="219">
        <v>0</v>
      </c>
      <c r="L17" s="219">
        <v>0</v>
      </c>
      <c r="M17" s="219">
        <v>0</v>
      </c>
      <c r="N17" s="45">
        <f t="shared" si="0"/>
        <v>70559.92</v>
      </c>
    </row>
    <row r="18" spans="1:14">
      <c r="A18" s="119">
        <f t="shared" si="1"/>
        <v>2023</v>
      </c>
      <c r="B18" s="119">
        <f t="shared" si="1"/>
        <v>71</v>
      </c>
      <c r="C18" s="119">
        <f t="shared" si="1"/>
        <v>68</v>
      </c>
      <c r="D18" s="190">
        <v>27300</v>
      </c>
      <c r="E18" s="190">
        <v>28152</v>
      </c>
      <c r="F18" s="219">
        <v>0</v>
      </c>
      <c r="G18" s="219">
        <v>0</v>
      </c>
      <c r="H18" s="510">
        <v>7553.96</v>
      </c>
      <c r="I18" s="510">
        <v>7553.96</v>
      </c>
      <c r="J18" s="219">
        <v>0</v>
      </c>
      <c r="K18" s="219">
        <v>0</v>
      </c>
      <c r="L18" s="219">
        <v>0</v>
      </c>
      <c r="M18" s="219">
        <v>0</v>
      </c>
      <c r="N18" s="45">
        <f t="shared" si="0"/>
        <v>70559.92</v>
      </c>
    </row>
    <row r="19" spans="1:14">
      <c r="A19" s="119">
        <f t="shared" si="1"/>
        <v>2024</v>
      </c>
      <c r="B19" s="119">
        <f t="shared" si="1"/>
        <v>72</v>
      </c>
      <c r="C19" s="119">
        <f t="shared" si="1"/>
        <v>69</v>
      </c>
      <c r="D19" s="190">
        <v>27300</v>
      </c>
      <c r="E19" s="190">
        <v>28152</v>
      </c>
      <c r="F19" s="219">
        <v>0</v>
      </c>
      <c r="G19" s="219">
        <v>0</v>
      </c>
      <c r="H19" s="510">
        <v>7553.96</v>
      </c>
      <c r="I19" s="510">
        <v>7553.96</v>
      </c>
      <c r="J19" s="219">
        <v>0</v>
      </c>
      <c r="K19" s="219">
        <v>0</v>
      </c>
      <c r="L19" s="219">
        <v>0</v>
      </c>
      <c r="M19" s="219">
        <v>0</v>
      </c>
      <c r="N19" s="45">
        <f t="shared" si="0"/>
        <v>70559.92</v>
      </c>
    </row>
    <row r="20" spans="1:14">
      <c r="A20" s="119">
        <f t="shared" si="1"/>
        <v>2025</v>
      </c>
      <c r="B20" s="119">
        <f t="shared" si="1"/>
        <v>73</v>
      </c>
      <c r="C20" s="119">
        <f t="shared" si="1"/>
        <v>70</v>
      </c>
      <c r="D20" s="190">
        <v>27300</v>
      </c>
      <c r="E20" s="190">
        <v>28152</v>
      </c>
      <c r="F20" s="219">
        <v>0</v>
      </c>
      <c r="G20" s="219">
        <v>0</v>
      </c>
      <c r="H20" s="510">
        <v>7553.96</v>
      </c>
      <c r="I20" s="510">
        <v>7553.96</v>
      </c>
      <c r="J20" s="219">
        <v>0</v>
      </c>
      <c r="K20" s="219">
        <v>0</v>
      </c>
      <c r="L20" s="219">
        <v>0</v>
      </c>
      <c r="M20" s="219">
        <v>0</v>
      </c>
      <c r="N20" s="45">
        <f t="shared" si="0"/>
        <v>70559.92</v>
      </c>
    </row>
    <row r="21" spans="1:14">
      <c r="A21" s="119">
        <f t="shared" si="1"/>
        <v>2026</v>
      </c>
      <c r="B21" s="119">
        <f t="shared" si="1"/>
        <v>74</v>
      </c>
      <c r="C21" s="119">
        <f t="shared" si="1"/>
        <v>71</v>
      </c>
      <c r="D21" s="190">
        <v>27300</v>
      </c>
      <c r="E21" s="190">
        <v>28152</v>
      </c>
      <c r="F21" s="219">
        <v>0</v>
      </c>
      <c r="G21" s="219">
        <v>0</v>
      </c>
      <c r="H21" s="510">
        <v>7553.96</v>
      </c>
      <c r="I21" s="510">
        <v>7553.96</v>
      </c>
      <c r="J21" s="219">
        <v>0</v>
      </c>
      <c r="K21" s="219">
        <v>0</v>
      </c>
      <c r="L21" s="219">
        <v>0</v>
      </c>
      <c r="M21" s="219">
        <v>0</v>
      </c>
      <c r="N21" s="45">
        <f t="shared" si="0"/>
        <v>70559.92</v>
      </c>
    </row>
    <row r="22" spans="1:14">
      <c r="A22" s="119">
        <f t="shared" si="1"/>
        <v>2027</v>
      </c>
      <c r="B22" s="119">
        <f t="shared" si="1"/>
        <v>75</v>
      </c>
      <c r="C22" s="119">
        <f t="shared" si="1"/>
        <v>72</v>
      </c>
      <c r="D22" s="190">
        <v>27300</v>
      </c>
      <c r="E22" s="190">
        <v>28152</v>
      </c>
      <c r="F22" s="219">
        <v>0</v>
      </c>
      <c r="G22" s="219">
        <v>0</v>
      </c>
      <c r="H22" s="510">
        <v>7553.96</v>
      </c>
      <c r="I22" s="510">
        <v>7553.96</v>
      </c>
      <c r="J22" s="219">
        <v>0</v>
      </c>
      <c r="K22" s="219">
        <v>0</v>
      </c>
      <c r="L22" s="219">
        <v>0</v>
      </c>
      <c r="M22" s="219">
        <v>0</v>
      </c>
      <c r="N22" s="45">
        <f t="shared" si="0"/>
        <v>70559.92</v>
      </c>
    </row>
    <row r="23" spans="1:14">
      <c r="A23" s="119">
        <f t="shared" si="1"/>
        <v>2028</v>
      </c>
      <c r="B23" s="119">
        <f t="shared" si="1"/>
        <v>76</v>
      </c>
      <c r="C23" s="119">
        <f t="shared" si="1"/>
        <v>73</v>
      </c>
      <c r="D23" s="190">
        <v>27300</v>
      </c>
      <c r="E23" s="190">
        <v>28152</v>
      </c>
      <c r="F23" s="219">
        <v>0</v>
      </c>
      <c r="G23" s="219">
        <v>0</v>
      </c>
      <c r="H23" s="510">
        <v>7553.96</v>
      </c>
      <c r="I23" s="510">
        <v>7553.96</v>
      </c>
      <c r="J23" s="219">
        <v>0</v>
      </c>
      <c r="K23" s="219">
        <v>0</v>
      </c>
      <c r="L23" s="219">
        <v>0</v>
      </c>
      <c r="M23" s="219">
        <v>0</v>
      </c>
      <c r="N23" s="45">
        <f t="shared" si="0"/>
        <v>70559.92</v>
      </c>
    </row>
    <row r="24" spans="1:14">
      <c r="A24" s="119">
        <f t="shared" si="1"/>
        <v>2029</v>
      </c>
      <c r="B24" s="119">
        <f t="shared" si="1"/>
        <v>77</v>
      </c>
      <c r="C24" s="119">
        <f t="shared" si="1"/>
        <v>74</v>
      </c>
      <c r="D24" s="190">
        <v>27300</v>
      </c>
      <c r="E24" s="190">
        <v>28152</v>
      </c>
      <c r="F24" s="219">
        <v>0</v>
      </c>
      <c r="G24" s="219">
        <v>0</v>
      </c>
      <c r="H24" s="510">
        <v>7553.96</v>
      </c>
      <c r="I24" s="510">
        <v>7553.96</v>
      </c>
      <c r="J24" s="219">
        <v>0</v>
      </c>
      <c r="K24" s="219">
        <v>0</v>
      </c>
      <c r="L24" s="219">
        <v>0</v>
      </c>
      <c r="M24" s="219">
        <v>0</v>
      </c>
      <c r="N24" s="45">
        <f t="shared" si="0"/>
        <v>70559.92</v>
      </c>
    </row>
    <row r="25" spans="1:14">
      <c r="A25" s="119">
        <f t="shared" si="1"/>
        <v>2030</v>
      </c>
      <c r="B25" s="119">
        <f t="shared" si="1"/>
        <v>78</v>
      </c>
      <c r="C25" s="119">
        <f t="shared" si="1"/>
        <v>75</v>
      </c>
      <c r="D25" s="190">
        <v>27300</v>
      </c>
      <c r="E25" s="190">
        <v>28152</v>
      </c>
      <c r="F25" s="219">
        <v>0</v>
      </c>
      <c r="G25" s="219">
        <v>0</v>
      </c>
      <c r="H25" s="510">
        <v>7553.96</v>
      </c>
      <c r="I25" s="510">
        <v>7553.96</v>
      </c>
      <c r="J25" s="219">
        <v>0</v>
      </c>
      <c r="K25" s="219">
        <v>0</v>
      </c>
      <c r="L25" s="219">
        <v>0</v>
      </c>
      <c r="M25" s="219">
        <v>0</v>
      </c>
      <c r="N25" s="45">
        <f t="shared" si="0"/>
        <v>70559.92</v>
      </c>
    </row>
    <row r="26" spans="1:14">
      <c r="A26" s="155">
        <f t="shared" si="1"/>
        <v>2031</v>
      </c>
      <c r="B26" s="119">
        <f t="shared" si="1"/>
        <v>79</v>
      </c>
      <c r="C26" s="221">
        <f t="shared" si="1"/>
        <v>76</v>
      </c>
      <c r="D26" s="190">
        <v>27300</v>
      </c>
      <c r="E26" s="190">
        <v>28152</v>
      </c>
      <c r="F26" s="219">
        <v>0</v>
      </c>
      <c r="G26" s="219">
        <v>0</v>
      </c>
      <c r="H26" s="510">
        <v>7553.96</v>
      </c>
      <c r="I26" s="510">
        <v>7553.96</v>
      </c>
      <c r="J26" s="219">
        <v>0</v>
      </c>
      <c r="K26" s="219">
        <v>0</v>
      </c>
      <c r="L26" s="219">
        <v>0</v>
      </c>
      <c r="M26" s="219">
        <v>0</v>
      </c>
      <c r="N26" s="45">
        <f t="shared" si="0"/>
        <v>70559.92</v>
      </c>
    </row>
    <row r="27" spans="1:14">
      <c r="A27" s="119">
        <f t="shared" si="1"/>
        <v>2032</v>
      </c>
      <c r="B27" s="137">
        <f t="shared" si="1"/>
        <v>80</v>
      </c>
      <c r="C27" s="119">
        <f t="shared" si="1"/>
        <v>77</v>
      </c>
      <c r="D27" s="190">
        <v>27300</v>
      </c>
      <c r="E27" s="190">
        <v>28152</v>
      </c>
      <c r="F27" s="219">
        <v>0</v>
      </c>
      <c r="G27" s="219">
        <v>0</v>
      </c>
      <c r="H27" s="510">
        <v>7553.96</v>
      </c>
      <c r="I27" s="510">
        <v>7553.96</v>
      </c>
      <c r="J27" s="219">
        <v>0</v>
      </c>
      <c r="K27" s="219">
        <v>0</v>
      </c>
      <c r="L27" s="219">
        <v>0</v>
      </c>
      <c r="M27" s="219">
        <v>0</v>
      </c>
      <c r="N27" s="45">
        <f t="shared" si="0"/>
        <v>70559.92</v>
      </c>
    </row>
    <row r="28" spans="1:14">
      <c r="A28" s="119">
        <f t="shared" ref="A28:C38" si="2">A27+1</f>
        <v>2033</v>
      </c>
      <c r="B28" s="119">
        <f t="shared" si="2"/>
        <v>81</v>
      </c>
      <c r="C28" s="119">
        <f t="shared" si="2"/>
        <v>78</v>
      </c>
      <c r="D28" s="190">
        <v>27300</v>
      </c>
      <c r="E28" s="190">
        <v>28152</v>
      </c>
      <c r="F28" s="219">
        <v>0</v>
      </c>
      <c r="G28" s="219">
        <v>0</v>
      </c>
      <c r="H28" s="510">
        <v>7553.96</v>
      </c>
      <c r="I28" s="510">
        <v>7553.96</v>
      </c>
      <c r="J28" s="219">
        <v>0</v>
      </c>
      <c r="K28" s="219">
        <v>0</v>
      </c>
      <c r="L28" s="219">
        <v>0</v>
      </c>
      <c r="M28" s="219">
        <v>0</v>
      </c>
      <c r="N28" s="356">
        <f t="shared" si="0"/>
        <v>70559.92</v>
      </c>
    </row>
    <row r="29" spans="1:14">
      <c r="A29" s="119">
        <f t="shared" si="2"/>
        <v>2034</v>
      </c>
      <c r="B29" s="150">
        <f t="shared" si="2"/>
        <v>82</v>
      </c>
      <c r="C29" s="119">
        <f t="shared" si="2"/>
        <v>79</v>
      </c>
      <c r="D29" s="338">
        <v>0</v>
      </c>
      <c r="E29" s="339">
        <v>28152</v>
      </c>
      <c r="F29" s="219">
        <v>0</v>
      </c>
      <c r="G29" s="219">
        <v>0</v>
      </c>
      <c r="H29" s="510">
        <v>7553.96</v>
      </c>
      <c r="I29" s="510">
        <v>7553.96</v>
      </c>
      <c r="J29" s="219">
        <v>0</v>
      </c>
      <c r="K29" s="219">
        <v>0</v>
      </c>
      <c r="L29" s="219">
        <v>0</v>
      </c>
      <c r="M29" s="219">
        <v>0</v>
      </c>
      <c r="N29" s="337">
        <f t="shared" si="0"/>
        <v>43259.92</v>
      </c>
    </row>
    <row r="30" spans="1:14">
      <c r="A30" s="119">
        <f t="shared" si="2"/>
        <v>2035</v>
      </c>
      <c r="B30" s="119">
        <f t="shared" si="2"/>
        <v>83</v>
      </c>
      <c r="C30" s="119">
        <f t="shared" si="2"/>
        <v>80</v>
      </c>
      <c r="D30" s="190">
        <v>0</v>
      </c>
      <c r="E30" s="190">
        <v>28152</v>
      </c>
      <c r="F30" s="219">
        <v>0</v>
      </c>
      <c r="G30" s="219">
        <v>0</v>
      </c>
      <c r="H30" s="510">
        <v>7553.96</v>
      </c>
      <c r="I30" s="510">
        <v>7553.96</v>
      </c>
      <c r="J30" s="219">
        <v>0</v>
      </c>
      <c r="K30" s="219">
        <v>0</v>
      </c>
      <c r="L30" s="219">
        <v>0</v>
      </c>
      <c r="M30" s="219">
        <v>0</v>
      </c>
      <c r="N30" s="45">
        <f t="shared" si="0"/>
        <v>43259.92</v>
      </c>
    </row>
    <row r="31" spans="1:14">
      <c r="A31" s="119">
        <f t="shared" si="2"/>
        <v>2036</v>
      </c>
      <c r="B31" s="119">
        <f t="shared" si="2"/>
        <v>84</v>
      </c>
      <c r="C31" s="119">
        <f t="shared" si="2"/>
        <v>81</v>
      </c>
      <c r="D31" s="190">
        <v>0</v>
      </c>
      <c r="E31" s="190">
        <v>28152</v>
      </c>
      <c r="F31" s="219">
        <v>0</v>
      </c>
      <c r="G31" s="219">
        <v>0</v>
      </c>
      <c r="H31" s="510">
        <v>7553.96</v>
      </c>
      <c r="I31" s="510">
        <v>7553.96</v>
      </c>
      <c r="J31" s="219">
        <v>0</v>
      </c>
      <c r="K31" s="219">
        <v>0</v>
      </c>
      <c r="L31" s="219">
        <v>0</v>
      </c>
      <c r="M31" s="219">
        <v>0</v>
      </c>
      <c r="N31" s="45">
        <f t="shared" si="0"/>
        <v>43259.92</v>
      </c>
    </row>
    <row r="32" spans="1:14">
      <c r="A32" s="119">
        <f t="shared" si="2"/>
        <v>2037</v>
      </c>
      <c r="B32" s="119">
        <f t="shared" si="2"/>
        <v>85</v>
      </c>
      <c r="C32" s="119">
        <f t="shared" si="2"/>
        <v>82</v>
      </c>
      <c r="D32" s="190">
        <v>0</v>
      </c>
      <c r="E32" s="190">
        <v>28152</v>
      </c>
      <c r="F32" s="219">
        <v>0</v>
      </c>
      <c r="G32" s="219">
        <v>0</v>
      </c>
      <c r="H32" s="510">
        <v>7553.96</v>
      </c>
      <c r="I32" s="510">
        <v>7553.96</v>
      </c>
      <c r="J32" s="219">
        <v>0</v>
      </c>
      <c r="K32" s="219">
        <v>0</v>
      </c>
      <c r="L32" s="219">
        <v>0</v>
      </c>
      <c r="M32" s="219">
        <v>0</v>
      </c>
      <c r="N32" s="45">
        <f t="shared" si="0"/>
        <v>43259.92</v>
      </c>
    </row>
    <row r="33" spans="1:25">
      <c r="A33" s="119">
        <f t="shared" si="2"/>
        <v>2038</v>
      </c>
      <c r="B33" s="119">
        <f t="shared" si="2"/>
        <v>86</v>
      </c>
      <c r="C33" s="119">
        <f t="shared" si="2"/>
        <v>83</v>
      </c>
      <c r="D33" s="190">
        <v>0</v>
      </c>
      <c r="E33" s="190">
        <v>28152</v>
      </c>
      <c r="F33" s="219">
        <v>0</v>
      </c>
      <c r="G33" s="219">
        <v>0</v>
      </c>
      <c r="H33" s="510">
        <v>7553.96</v>
      </c>
      <c r="I33" s="510">
        <v>7553.96</v>
      </c>
      <c r="J33" s="219">
        <v>0</v>
      </c>
      <c r="K33" s="219">
        <v>0</v>
      </c>
      <c r="L33" s="219">
        <v>0</v>
      </c>
      <c r="M33" s="219">
        <v>0</v>
      </c>
      <c r="N33" s="45">
        <f t="shared" si="0"/>
        <v>43259.92</v>
      </c>
    </row>
    <row r="34" spans="1:25">
      <c r="A34" s="119">
        <f t="shared" si="2"/>
        <v>2039</v>
      </c>
      <c r="B34" s="119">
        <f t="shared" si="2"/>
        <v>87</v>
      </c>
      <c r="C34" s="119">
        <f t="shared" si="2"/>
        <v>84</v>
      </c>
      <c r="D34" s="190">
        <v>0</v>
      </c>
      <c r="E34" s="190">
        <v>28152</v>
      </c>
      <c r="F34" s="219">
        <v>0</v>
      </c>
      <c r="G34" s="219">
        <v>0</v>
      </c>
      <c r="H34" s="510">
        <v>7553.96</v>
      </c>
      <c r="I34" s="510">
        <v>7553.96</v>
      </c>
      <c r="J34" s="219">
        <v>0</v>
      </c>
      <c r="K34" s="219">
        <v>0</v>
      </c>
      <c r="L34" s="219">
        <v>0</v>
      </c>
      <c r="M34" s="219">
        <v>0</v>
      </c>
      <c r="N34" s="45">
        <f t="shared" si="0"/>
        <v>43259.92</v>
      </c>
    </row>
    <row r="35" spans="1:25">
      <c r="A35" s="119">
        <f t="shared" si="2"/>
        <v>2040</v>
      </c>
      <c r="B35" s="119">
        <f t="shared" si="2"/>
        <v>88</v>
      </c>
      <c r="C35" s="119">
        <f t="shared" si="2"/>
        <v>85</v>
      </c>
      <c r="D35" s="190">
        <v>0</v>
      </c>
      <c r="E35" s="190">
        <v>28152</v>
      </c>
      <c r="F35" s="219">
        <v>0</v>
      </c>
      <c r="G35" s="219">
        <v>0</v>
      </c>
      <c r="H35" s="510">
        <v>7553.96</v>
      </c>
      <c r="I35" s="510">
        <v>7553.96</v>
      </c>
      <c r="J35" s="219">
        <v>0</v>
      </c>
      <c r="K35" s="219">
        <v>0</v>
      </c>
      <c r="L35" s="219">
        <v>0</v>
      </c>
      <c r="M35" s="219">
        <v>0</v>
      </c>
      <c r="N35" s="45">
        <f t="shared" si="0"/>
        <v>43259.92</v>
      </c>
    </row>
    <row r="36" spans="1:25">
      <c r="A36" s="119">
        <f t="shared" si="2"/>
        <v>2041</v>
      </c>
      <c r="B36" s="119">
        <f t="shared" si="2"/>
        <v>89</v>
      </c>
      <c r="C36" s="119">
        <f t="shared" si="2"/>
        <v>86</v>
      </c>
      <c r="D36" s="190">
        <v>0</v>
      </c>
      <c r="E36" s="190">
        <v>28152</v>
      </c>
      <c r="F36" s="219">
        <v>0</v>
      </c>
      <c r="G36" s="219">
        <v>0</v>
      </c>
      <c r="H36" s="510">
        <v>7553.96</v>
      </c>
      <c r="I36" s="510">
        <v>7553.96</v>
      </c>
      <c r="J36" s="219">
        <v>0</v>
      </c>
      <c r="K36" s="219">
        <v>0</v>
      </c>
      <c r="L36" s="219">
        <v>0</v>
      </c>
      <c r="M36" s="219">
        <v>0</v>
      </c>
      <c r="N36" s="45">
        <f t="shared" si="0"/>
        <v>43259.92</v>
      </c>
    </row>
    <row r="37" spans="1:25">
      <c r="A37" s="119">
        <f t="shared" si="2"/>
        <v>2042</v>
      </c>
      <c r="B37" s="119">
        <f t="shared" si="2"/>
        <v>90</v>
      </c>
      <c r="C37" s="119">
        <f t="shared" si="2"/>
        <v>87</v>
      </c>
      <c r="D37" s="190">
        <v>0</v>
      </c>
      <c r="E37" s="190">
        <v>28152</v>
      </c>
      <c r="F37" s="219">
        <v>0</v>
      </c>
      <c r="G37" s="219">
        <v>0</v>
      </c>
      <c r="H37" s="510">
        <v>7553.96</v>
      </c>
      <c r="I37" s="510">
        <v>7553.96</v>
      </c>
      <c r="J37" s="219">
        <v>0</v>
      </c>
      <c r="K37" s="219">
        <v>0</v>
      </c>
      <c r="L37" s="219">
        <v>0</v>
      </c>
      <c r="M37" s="219">
        <v>0</v>
      </c>
      <c r="N37" s="45">
        <f t="shared" si="0"/>
        <v>43259.92</v>
      </c>
    </row>
    <row r="38" spans="1:25">
      <c r="A38" s="137">
        <f t="shared" si="2"/>
        <v>2043</v>
      </c>
      <c r="B38" s="137">
        <f t="shared" si="2"/>
        <v>91</v>
      </c>
      <c r="C38" s="137">
        <f t="shared" si="2"/>
        <v>88</v>
      </c>
      <c r="D38" s="190">
        <v>0</v>
      </c>
      <c r="E38" s="190">
        <v>28152</v>
      </c>
      <c r="F38" s="219">
        <v>0</v>
      </c>
      <c r="G38" s="219">
        <v>0</v>
      </c>
      <c r="H38" s="510">
        <v>7553.96</v>
      </c>
      <c r="I38" s="510">
        <v>7553.96</v>
      </c>
      <c r="J38" s="219">
        <v>0</v>
      </c>
      <c r="K38" s="219">
        <v>0</v>
      </c>
      <c r="L38" s="219">
        <v>0</v>
      </c>
      <c r="M38" s="219">
        <v>0</v>
      </c>
      <c r="N38" s="45">
        <f t="shared" si="0"/>
        <v>43259.92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6:L6"/>
    <mergeCell ref="D7:L7"/>
    <mergeCell ref="A10:C10"/>
    <mergeCell ref="D1:K1"/>
    <mergeCell ref="L1:M1"/>
    <mergeCell ref="E2:K2"/>
    <mergeCell ref="C3:M3"/>
    <mergeCell ref="C4:M4"/>
    <mergeCell ref="D5:L5"/>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2135"/>
      <c r="E1" s="2135"/>
      <c r="F1" s="2135"/>
      <c r="G1" s="2135"/>
      <c r="H1" s="2135"/>
      <c r="I1" s="2135"/>
      <c r="J1" s="2135"/>
      <c r="K1" s="2135"/>
      <c r="L1" s="2137" t="s">
        <v>713</v>
      </c>
      <c r="M1" s="2137"/>
      <c r="N1" s="499">
        <v>75000</v>
      </c>
    </row>
    <row r="2" spans="1:25" ht="20.3">
      <c r="A2" s="302"/>
      <c r="B2" s="304"/>
      <c r="C2" s="329"/>
      <c r="D2" s="498"/>
      <c r="E2" s="2138" t="str" cm="1">
        <f t="array" ref="E2:K2">'AS with changes'!E3:K3</f>
        <v>William C Ross and Catherine A Ross</v>
      </c>
      <c r="F2" s="2139">
        <v>0</v>
      </c>
      <c r="G2" s="2139">
        <v>0</v>
      </c>
      <c r="H2" s="2139">
        <v>0</v>
      </c>
      <c r="I2" s="2139">
        <v>0</v>
      </c>
      <c r="J2" s="2139">
        <v>0</v>
      </c>
      <c r="K2" s="2139">
        <v>0</v>
      </c>
      <c r="L2" s="500"/>
      <c r="M2" s="498"/>
      <c r="N2" s="501">
        <f>'AS with changes'!G1</f>
        <v>42677</v>
      </c>
    </row>
    <row r="3" spans="1:25" ht="24.05" customHeight="1">
      <c r="A3" s="302"/>
      <c r="B3" s="304"/>
      <c r="C3" s="2140" t="s">
        <v>803</v>
      </c>
      <c r="D3" s="2140"/>
      <c r="E3" s="2140"/>
      <c r="F3" s="2140"/>
      <c r="G3" s="2140"/>
      <c r="H3" s="2140"/>
      <c r="I3" s="2140"/>
      <c r="J3" s="2140"/>
      <c r="K3" s="2140"/>
      <c r="L3" s="2140"/>
      <c r="M3" s="2140"/>
      <c r="N3" s="502">
        <v>75000</v>
      </c>
    </row>
    <row r="4" spans="1:25" ht="19">
      <c r="A4" s="302"/>
      <c r="B4" s="304"/>
      <c r="C4" s="2081" t="s">
        <v>840</v>
      </c>
      <c r="D4" s="2082"/>
      <c r="E4" s="2082"/>
      <c r="F4" s="2082"/>
      <c r="G4" s="2082"/>
      <c r="H4" s="2082"/>
      <c r="I4" s="2082"/>
      <c r="J4" s="2082"/>
      <c r="K4" s="2082"/>
      <c r="L4" s="2082"/>
      <c r="M4" s="2082"/>
      <c r="N4" s="503"/>
    </row>
    <row r="5" spans="1:25" ht="15.05">
      <c r="A5" s="302"/>
      <c r="B5" s="304"/>
      <c r="C5" s="300"/>
      <c r="D5" s="2141"/>
      <c r="E5" s="2141"/>
      <c r="F5" s="2141"/>
      <c r="G5" s="2141"/>
      <c r="H5" s="2141"/>
      <c r="I5" s="2141"/>
      <c r="J5" s="2141"/>
      <c r="K5" s="2141"/>
      <c r="L5" s="2141"/>
      <c r="M5" s="331">
        <f>'AS with changes'!M4</f>
        <v>19109</v>
      </c>
      <c r="N5" s="335">
        <f>'AS with changes'!O4</f>
        <v>64</v>
      </c>
    </row>
    <row r="6" spans="1:25" ht="15.05">
      <c r="A6" s="302"/>
      <c r="B6" s="304"/>
      <c r="C6" s="300"/>
      <c r="D6" s="2135"/>
      <c r="E6" s="2135"/>
      <c r="F6" s="2135"/>
      <c r="G6" s="2135"/>
      <c r="H6" s="2135"/>
      <c r="I6" s="2135"/>
      <c r="J6" s="2135"/>
      <c r="K6" s="2135"/>
      <c r="L6" s="2135"/>
      <c r="M6" s="439">
        <f>'AS with changes'!M5</f>
        <v>20124</v>
      </c>
      <c r="N6" s="336">
        <f>'AS with changes'!O5</f>
        <v>61</v>
      </c>
    </row>
    <row r="7" spans="1:25">
      <c r="A7" s="305"/>
      <c r="B7" s="304"/>
      <c r="C7" s="300"/>
      <c r="D7" s="2136"/>
      <c r="E7" s="2136"/>
      <c r="F7" s="2136"/>
      <c r="G7" s="2136"/>
      <c r="H7" s="2136"/>
      <c r="I7" s="2136"/>
      <c r="J7" s="2136"/>
      <c r="K7" s="2136"/>
      <c r="L7" s="2136"/>
      <c r="M7" s="505"/>
      <c r="N7" s="504"/>
    </row>
    <row r="8" spans="1:25" s="37" customFormat="1" ht="100" customHeight="1">
      <c r="A8" s="212" t="s">
        <v>26</v>
      </c>
      <c r="B8" s="212" t="s">
        <v>591</v>
      </c>
      <c r="C8" s="212" t="s">
        <v>592</v>
      </c>
      <c r="D8" s="374" t="s">
        <v>383</v>
      </c>
      <c r="E8" s="139" t="s">
        <v>524</v>
      </c>
      <c r="F8" s="136" t="s">
        <v>148</v>
      </c>
      <c r="G8" s="139" t="s">
        <v>154</v>
      </c>
      <c r="H8" s="479" t="s">
        <v>837</v>
      </c>
      <c r="I8" s="478" t="s">
        <v>838</v>
      </c>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839</v>
      </c>
      <c r="I10" s="440" t="s">
        <v>839</v>
      </c>
      <c r="J10" s="217"/>
      <c r="K10" s="217"/>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510">
        <v>7553.96</v>
      </c>
      <c r="I13" s="510">
        <v>7553.96</v>
      </c>
      <c r="J13" s="219">
        <v>0</v>
      </c>
      <c r="K13" s="219">
        <v>0</v>
      </c>
      <c r="L13" s="219">
        <v>0</v>
      </c>
      <c r="M13" s="219">
        <v>0</v>
      </c>
      <c r="N13" s="45">
        <f t="shared" si="0"/>
        <v>70559.92</v>
      </c>
    </row>
    <row r="14" spans="1:25">
      <c r="A14" s="119">
        <f t="shared" si="1"/>
        <v>2019</v>
      </c>
      <c r="B14" s="137">
        <f t="shared" si="1"/>
        <v>67</v>
      </c>
      <c r="C14" s="137">
        <f t="shared" si="1"/>
        <v>64</v>
      </c>
      <c r="D14" s="190">
        <v>27300</v>
      </c>
      <c r="E14" s="190">
        <v>28152</v>
      </c>
      <c r="F14" s="219">
        <v>0</v>
      </c>
      <c r="G14" s="219">
        <v>0</v>
      </c>
      <c r="H14" s="510">
        <v>7553.96</v>
      </c>
      <c r="I14" s="510">
        <v>7553.96</v>
      </c>
      <c r="J14" s="219">
        <v>0</v>
      </c>
      <c r="K14" s="219">
        <v>0</v>
      </c>
      <c r="L14" s="219">
        <v>0</v>
      </c>
      <c r="M14" s="219">
        <v>0</v>
      </c>
      <c r="N14" s="45">
        <f t="shared" si="0"/>
        <v>70559.92</v>
      </c>
    </row>
    <row r="15" spans="1:25">
      <c r="A15" s="119">
        <f t="shared" si="1"/>
        <v>2020</v>
      </c>
      <c r="B15" s="119">
        <f t="shared" si="1"/>
        <v>68</v>
      </c>
      <c r="C15" s="119">
        <f t="shared" si="1"/>
        <v>65</v>
      </c>
      <c r="D15" s="190">
        <v>27300</v>
      </c>
      <c r="E15" s="190">
        <v>28152</v>
      </c>
      <c r="F15" s="219">
        <v>0</v>
      </c>
      <c r="G15" s="219">
        <v>0</v>
      </c>
      <c r="H15" s="510">
        <v>7553.96</v>
      </c>
      <c r="I15" s="510">
        <v>7553.96</v>
      </c>
      <c r="J15" s="219">
        <v>0</v>
      </c>
      <c r="K15" s="219">
        <v>0</v>
      </c>
      <c r="L15" s="219">
        <v>0</v>
      </c>
      <c r="M15" s="219">
        <v>0</v>
      </c>
      <c r="N15" s="375">
        <f t="shared" si="0"/>
        <v>70559.92</v>
      </c>
    </row>
    <row r="16" spans="1:25">
      <c r="A16" s="119">
        <f t="shared" si="1"/>
        <v>2021</v>
      </c>
      <c r="B16" s="119">
        <f t="shared" si="1"/>
        <v>69</v>
      </c>
      <c r="C16" s="119">
        <f t="shared" si="1"/>
        <v>66</v>
      </c>
      <c r="D16" s="190">
        <v>27300</v>
      </c>
      <c r="E16" s="190">
        <v>28152</v>
      </c>
      <c r="F16" s="219">
        <v>0</v>
      </c>
      <c r="G16" s="219">
        <v>0</v>
      </c>
      <c r="H16" s="510">
        <v>7553.96</v>
      </c>
      <c r="I16" s="510">
        <v>7553.96</v>
      </c>
      <c r="J16" s="219">
        <v>0</v>
      </c>
      <c r="K16" s="219">
        <v>0</v>
      </c>
      <c r="L16" s="219">
        <v>0</v>
      </c>
      <c r="M16" s="219">
        <v>0</v>
      </c>
      <c r="N16" s="45">
        <f t="shared" si="0"/>
        <v>70559.92</v>
      </c>
    </row>
    <row r="17" spans="1:14">
      <c r="A17" s="119">
        <f t="shared" si="1"/>
        <v>2022</v>
      </c>
      <c r="B17" s="119">
        <f t="shared" si="1"/>
        <v>70</v>
      </c>
      <c r="C17" s="119">
        <f t="shared" si="1"/>
        <v>67</v>
      </c>
      <c r="D17" s="190">
        <v>27300</v>
      </c>
      <c r="E17" s="190">
        <v>28152</v>
      </c>
      <c r="F17" s="219">
        <v>0</v>
      </c>
      <c r="G17" s="219">
        <v>0</v>
      </c>
      <c r="H17" s="510">
        <v>7553.96</v>
      </c>
      <c r="I17" s="510">
        <v>7553.96</v>
      </c>
      <c r="J17" s="219">
        <v>0</v>
      </c>
      <c r="K17" s="219">
        <v>0</v>
      </c>
      <c r="L17" s="219">
        <v>0</v>
      </c>
      <c r="M17" s="219">
        <v>0</v>
      </c>
      <c r="N17" s="45">
        <f t="shared" si="0"/>
        <v>70559.92</v>
      </c>
    </row>
    <row r="18" spans="1:14">
      <c r="A18" s="119">
        <f t="shared" si="1"/>
        <v>2023</v>
      </c>
      <c r="B18" s="119">
        <f t="shared" si="1"/>
        <v>71</v>
      </c>
      <c r="C18" s="119">
        <f t="shared" si="1"/>
        <v>68</v>
      </c>
      <c r="D18" s="190">
        <v>27300</v>
      </c>
      <c r="E18" s="190">
        <v>28152</v>
      </c>
      <c r="F18" s="219">
        <v>0</v>
      </c>
      <c r="G18" s="219">
        <v>0</v>
      </c>
      <c r="H18" s="510">
        <v>7553.96</v>
      </c>
      <c r="I18" s="510">
        <v>7553.96</v>
      </c>
      <c r="J18" s="219">
        <v>0</v>
      </c>
      <c r="K18" s="219">
        <v>0</v>
      </c>
      <c r="L18" s="219">
        <v>0</v>
      </c>
      <c r="M18" s="219">
        <v>0</v>
      </c>
      <c r="N18" s="45">
        <f t="shared" si="0"/>
        <v>70559.92</v>
      </c>
    </row>
    <row r="19" spans="1:14">
      <c r="A19" s="119">
        <f t="shared" si="1"/>
        <v>2024</v>
      </c>
      <c r="B19" s="119">
        <f t="shared" si="1"/>
        <v>72</v>
      </c>
      <c r="C19" s="119">
        <f t="shared" si="1"/>
        <v>69</v>
      </c>
      <c r="D19" s="190">
        <v>27300</v>
      </c>
      <c r="E19" s="190">
        <v>28152</v>
      </c>
      <c r="F19" s="219">
        <v>0</v>
      </c>
      <c r="G19" s="219">
        <v>0</v>
      </c>
      <c r="H19" s="510">
        <v>7553.96</v>
      </c>
      <c r="I19" s="510">
        <v>7553.96</v>
      </c>
      <c r="J19" s="219">
        <v>0</v>
      </c>
      <c r="K19" s="219">
        <v>0</v>
      </c>
      <c r="L19" s="219">
        <v>0</v>
      </c>
      <c r="M19" s="219">
        <v>0</v>
      </c>
      <c r="N19" s="45">
        <f t="shared" si="0"/>
        <v>70559.92</v>
      </c>
    </row>
    <row r="20" spans="1:14">
      <c r="A20" s="119">
        <f t="shared" si="1"/>
        <v>2025</v>
      </c>
      <c r="B20" s="119">
        <f t="shared" si="1"/>
        <v>73</v>
      </c>
      <c r="C20" s="119">
        <f t="shared" si="1"/>
        <v>70</v>
      </c>
      <c r="D20" s="190">
        <v>27300</v>
      </c>
      <c r="E20" s="190">
        <v>28152</v>
      </c>
      <c r="F20" s="219">
        <v>0</v>
      </c>
      <c r="G20" s="219">
        <v>0</v>
      </c>
      <c r="H20" s="510">
        <v>7553.96</v>
      </c>
      <c r="I20" s="510">
        <v>7553.96</v>
      </c>
      <c r="J20" s="219">
        <v>0</v>
      </c>
      <c r="K20" s="219">
        <v>0</v>
      </c>
      <c r="L20" s="219">
        <v>0</v>
      </c>
      <c r="M20" s="219">
        <v>0</v>
      </c>
      <c r="N20" s="45">
        <f t="shared" si="0"/>
        <v>70559.92</v>
      </c>
    </row>
    <row r="21" spans="1:14">
      <c r="A21" s="119">
        <f t="shared" si="1"/>
        <v>2026</v>
      </c>
      <c r="B21" s="119">
        <f t="shared" si="1"/>
        <v>74</v>
      </c>
      <c r="C21" s="119">
        <f t="shared" si="1"/>
        <v>71</v>
      </c>
      <c r="D21" s="190">
        <v>27300</v>
      </c>
      <c r="E21" s="190">
        <v>28152</v>
      </c>
      <c r="F21" s="219">
        <v>0</v>
      </c>
      <c r="G21" s="219">
        <v>0</v>
      </c>
      <c r="H21" s="510">
        <v>7553.96</v>
      </c>
      <c r="I21" s="510">
        <v>7553.96</v>
      </c>
      <c r="J21" s="219">
        <v>0</v>
      </c>
      <c r="K21" s="219">
        <v>0</v>
      </c>
      <c r="L21" s="219">
        <v>0</v>
      </c>
      <c r="M21" s="219">
        <v>0</v>
      </c>
      <c r="N21" s="45">
        <f t="shared" si="0"/>
        <v>70559.92</v>
      </c>
    </row>
    <row r="22" spans="1:14">
      <c r="A22" s="119">
        <f t="shared" si="1"/>
        <v>2027</v>
      </c>
      <c r="B22" s="119">
        <f t="shared" si="1"/>
        <v>75</v>
      </c>
      <c r="C22" s="119">
        <f t="shared" si="1"/>
        <v>72</v>
      </c>
      <c r="D22" s="190">
        <v>27300</v>
      </c>
      <c r="E22" s="190">
        <v>28152</v>
      </c>
      <c r="F22" s="219">
        <v>0</v>
      </c>
      <c r="G22" s="219">
        <v>0</v>
      </c>
      <c r="H22" s="510">
        <v>7553.96</v>
      </c>
      <c r="I22" s="510">
        <v>7553.96</v>
      </c>
      <c r="J22" s="219">
        <v>0</v>
      </c>
      <c r="K22" s="219">
        <v>0</v>
      </c>
      <c r="L22" s="219">
        <v>0</v>
      </c>
      <c r="M22" s="219">
        <v>0</v>
      </c>
      <c r="N22" s="45">
        <f t="shared" si="0"/>
        <v>70559.92</v>
      </c>
    </row>
    <row r="23" spans="1:14">
      <c r="A23" s="119">
        <f t="shared" si="1"/>
        <v>2028</v>
      </c>
      <c r="B23" s="119">
        <f t="shared" si="1"/>
        <v>76</v>
      </c>
      <c r="C23" s="119">
        <f t="shared" si="1"/>
        <v>73</v>
      </c>
      <c r="D23" s="190">
        <v>27300</v>
      </c>
      <c r="E23" s="190">
        <v>28152</v>
      </c>
      <c r="F23" s="219">
        <v>0</v>
      </c>
      <c r="G23" s="219">
        <v>0</v>
      </c>
      <c r="H23" s="510">
        <v>7553.96</v>
      </c>
      <c r="I23" s="510">
        <v>7553.96</v>
      </c>
      <c r="J23" s="219">
        <v>0</v>
      </c>
      <c r="K23" s="219">
        <v>0</v>
      </c>
      <c r="L23" s="219">
        <v>0</v>
      </c>
      <c r="M23" s="219">
        <v>0</v>
      </c>
      <c r="N23" s="45">
        <f t="shared" si="0"/>
        <v>70559.92</v>
      </c>
    </row>
    <row r="24" spans="1:14">
      <c r="A24" s="119">
        <f t="shared" si="1"/>
        <v>2029</v>
      </c>
      <c r="B24" s="119">
        <f t="shared" si="1"/>
        <v>77</v>
      </c>
      <c r="C24" s="119">
        <f t="shared" si="1"/>
        <v>74</v>
      </c>
      <c r="D24" s="190">
        <v>27300</v>
      </c>
      <c r="E24" s="190">
        <v>28152</v>
      </c>
      <c r="F24" s="219">
        <v>0</v>
      </c>
      <c r="G24" s="219">
        <v>0</v>
      </c>
      <c r="H24" s="510">
        <v>7553.96</v>
      </c>
      <c r="I24" s="510">
        <v>7553.96</v>
      </c>
      <c r="J24" s="219">
        <v>0</v>
      </c>
      <c r="K24" s="219">
        <v>0</v>
      </c>
      <c r="L24" s="219">
        <v>0</v>
      </c>
      <c r="M24" s="219">
        <v>0</v>
      </c>
      <c r="N24" s="45">
        <f t="shared" si="0"/>
        <v>70559.92</v>
      </c>
    </row>
    <row r="25" spans="1:14">
      <c r="A25" s="119">
        <f t="shared" si="1"/>
        <v>2030</v>
      </c>
      <c r="B25" s="119">
        <f t="shared" si="1"/>
        <v>78</v>
      </c>
      <c r="C25" s="119">
        <f t="shared" si="1"/>
        <v>75</v>
      </c>
      <c r="D25" s="190">
        <v>27300</v>
      </c>
      <c r="E25" s="190">
        <v>28152</v>
      </c>
      <c r="F25" s="219">
        <v>0</v>
      </c>
      <c r="G25" s="219">
        <v>0</v>
      </c>
      <c r="H25" s="510">
        <v>7553.96</v>
      </c>
      <c r="I25" s="510">
        <v>7553.96</v>
      </c>
      <c r="J25" s="219">
        <v>0</v>
      </c>
      <c r="K25" s="219">
        <v>0</v>
      </c>
      <c r="L25" s="219">
        <v>0</v>
      </c>
      <c r="M25" s="219">
        <v>0</v>
      </c>
      <c r="N25" s="45">
        <f t="shared" si="0"/>
        <v>70559.92</v>
      </c>
    </row>
    <row r="26" spans="1:14">
      <c r="A26" s="155">
        <f t="shared" si="1"/>
        <v>2031</v>
      </c>
      <c r="B26" s="119">
        <f t="shared" si="1"/>
        <v>79</v>
      </c>
      <c r="C26" s="221">
        <f t="shared" si="1"/>
        <v>76</v>
      </c>
      <c r="D26" s="190">
        <v>27300</v>
      </c>
      <c r="E26" s="190">
        <v>28152</v>
      </c>
      <c r="F26" s="219">
        <v>0</v>
      </c>
      <c r="G26" s="219">
        <v>0</v>
      </c>
      <c r="H26" s="510">
        <v>7553.96</v>
      </c>
      <c r="I26" s="510">
        <v>7553.96</v>
      </c>
      <c r="J26" s="219">
        <v>0</v>
      </c>
      <c r="K26" s="219">
        <v>0</v>
      </c>
      <c r="L26" s="219">
        <v>0</v>
      </c>
      <c r="M26" s="219">
        <v>0</v>
      </c>
      <c r="N26" s="45">
        <f t="shared" si="0"/>
        <v>70559.92</v>
      </c>
    </row>
    <row r="27" spans="1:14">
      <c r="A27" s="119">
        <f t="shared" si="1"/>
        <v>2032</v>
      </c>
      <c r="B27" s="137">
        <f t="shared" si="1"/>
        <v>80</v>
      </c>
      <c r="C27" s="119">
        <f t="shared" si="1"/>
        <v>77</v>
      </c>
      <c r="D27" s="190">
        <v>27300</v>
      </c>
      <c r="E27" s="190">
        <v>28152</v>
      </c>
      <c r="F27" s="219">
        <v>0</v>
      </c>
      <c r="G27" s="219">
        <v>0</v>
      </c>
      <c r="H27" s="510">
        <v>7553.96</v>
      </c>
      <c r="I27" s="510">
        <v>7553.96</v>
      </c>
      <c r="J27" s="219">
        <v>0</v>
      </c>
      <c r="K27" s="219">
        <v>0</v>
      </c>
      <c r="L27" s="219">
        <v>0</v>
      </c>
      <c r="M27" s="219">
        <v>0</v>
      </c>
      <c r="N27" s="45">
        <f t="shared" si="0"/>
        <v>70559.92</v>
      </c>
    </row>
    <row r="28" spans="1:14">
      <c r="A28" s="119">
        <f t="shared" ref="A28:C38" si="2">A27+1</f>
        <v>2033</v>
      </c>
      <c r="B28" s="119">
        <f t="shared" si="2"/>
        <v>81</v>
      </c>
      <c r="C28" s="119">
        <f t="shared" si="2"/>
        <v>78</v>
      </c>
      <c r="D28" s="190">
        <v>27300</v>
      </c>
      <c r="E28" s="190">
        <v>28152</v>
      </c>
      <c r="F28" s="219">
        <v>0</v>
      </c>
      <c r="G28" s="219">
        <v>0</v>
      </c>
      <c r="H28" s="510">
        <v>7553.96</v>
      </c>
      <c r="I28" s="510">
        <v>7553.96</v>
      </c>
      <c r="J28" s="219">
        <v>0</v>
      </c>
      <c r="K28" s="219">
        <v>0</v>
      </c>
      <c r="L28" s="219">
        <v>0</v>
      </c>
      <c r="M28" s="219">
        <v>0</v>
      </c>
      <c r="N28" s="45">
        <f t="shared" si="0"/>
        <v>70559.92</v>
      </c>
    </row>
    <row r="29" spans="1:14">
      <c r="A29" s="119">
        <f t="shared" si="2"/>
        <v>2034</v>
      </c>
      <c r="B29" s="119">
        <f t="shared" si="2"/>
        <v>82</v>
      </c>
      <c r="C29" s="119">
        <f t="shared" si="2"/>
        <v>79</v>
      </c>
      <c r="D29" s="190">
        <v>27300</v>
      </c>
      <c r="E29" s="190">
        <v>28152</v>
      </c>
      <c r="F29" s="219">
        <v>0</v>
      </c>
      <c r="G29" s="219">
        <v>0</v>
      </c>
      <c r="H29" s="510">
        <v>7553.96</v>
      </c>
      <c r="I29" s="510">
        <v>7553.96</v>
      </c>
      <c r="J29" s="219">
        <v>0</v>
      </c>
      <c r="K29" s="219">
        <v>0</v>
      </c>
      <c r="L29" s="219">
        <v>0</v>
      </c>
      <c r="M29" s="219">
        <v>0</v>
      </c>
      <c r="N29" s="45">
        <f t="shared" si="0"/>
        <v>70559.92</v>
      </c>
    </row>
    <row r="30" spans="1:14">
      <c r="A30" s="119">
        <f t="shared" si="2"/>
        <v>2035</v>
      </c>
      <c r="B30" s="119">
        <f t="shared" si="2"/>
        <v>83</v>
      </c>
      <c r="C30" s="119">
        <f t="shared" si="2"/>
        <v>80</v>
      </c>
      <c r="D30" s="190">
        <v>27300</v>
      </c>
      <c r="E30" s="190">
        <v>28152</v>
      </c>
      <c r="F30" s="219">
        <v>0</v>
      </c>
      <c r="G30" s="219">
        <v>0</v>
      </c>
      <c r="H30" s="510">
        <v>7553.96</v>
      </c>
      <c r="I30" s="510">
        <v>7553.96</v>
      </c>
      <c r="J30" s="219">
        <v>0</v>
      </c>
      <c r="K30" s="219">
        <v>0</v>
      </c>
      <c r="L30" s="219">
        <v>0</v>
      </c>
      <c r="M30" s="219">
        <v>0</v>
      </c>
      <c r="N30" s="45">
        <f t="shared" si="0"/>
        <v>70559.92</v>
      </c>
    </row>
    <row r="31" spans="1:14">
      <c r="A31" s="119">
        <f t="shared" si="2"/>
        <v>2036</v>
      </c>
      <c r="B31" s="119">
        <f t="shared" si="2"/>
        <v>84</v>
      </c>
      <c r="C31" s="119">
        <f t="shared" si="2"/>
        <v>81</v>
      </c>
      <c r="D31" s="190">
        <v>27300</v>
      </c>
      <c r="E31" s="190">
        <v>28152</v>
      </c>
      <c r="F31" s="219">
        <v>0</v>
      </c>
      <c r="G31" s="219">
        <v>0</v>
      </c>
      <c r="H31" s="510">
        <v>7553.96</v>
      </c>
      <c r="I31" s="510">
        <v>7553.96</v>
      </c>
      <c r="J31" s="219">
        <v>0</v>
      </c>
      <c r="K31" s="219">
        <v>0</v>
      </c>
      <c r="L31" s="219">
        <v>0</v>
      </c>
      <c r="M31" s="219">
        <v>0</v>
      </c>
      <c r="N31" s="45">
        <f t="shared" si="0"/>
        <v>70559.92</v>
      </c>
    </row>
    <row r="32" spans="1:14">
      <c r="A32" s="119">
        <f t="shared" si="2"/>
        <v>2037</v>
      </c>
      <c r="B32" s="119">
        <f t="shared" si="2"/>
        <v>85</v>
      </c>
      <c r="C32" s="119">
        <f t="shared" si="2"/>
        <v>82</v>
      </c>
      <c r="D32" s="190">
        <v>27300</v>
      </c>
      <c r="E32" s="190">
        <v>28152</v>
      </c>
      <c r="F32" s="219">
        <v>0</v>
      </c>
      <c r="G32" s="219">
        <v>0</v>
      </c>
      <c r="H32" s="510">
        <v>7553.96</v>
      </c>
      <c r="I32" s="510">
        <v>7553.96</v>
      </c>
      <c r="J32" s="219">
        <v>0</v>
      </c>
      <c r="K32" s="219">
        <v>0</v>
      </c>
      <c r="L32" s="219">
        <v>0</v>
      </c>
      <c r="M32" s="219">
        <v>0</v>
      </c>
      <c r="N32" s="45">
        <f t="shared" si="0"/>
        <v>70559.92</v>
      </c>
    </row>
    <row r="33" spans="1:25">
      <c r="A33" s="119">
        <f t="shared" si="2"/>
        <v>2038</v>
      </c>
      <c r="B33" s="119">
        <f t="shared" si="2"/>
        <v>86</v>
      </c>
      <c r="C33" s="119">
        <f t="shared" si="2"/>
        <v>83</v>
      </c>
      <c r="D33" s="190">
        <v>27300</v>
      </c>
      <c r="E33" s="190">
        <v>28152</v>
      </c>
      <c r="F33" s="219">
        <v>0</v>
      </c>
      <c r="G33" s="219">
        <v>0</v>
      </c>
      <c r="H33" s="510">
        <v>7553.96</v>
      </c>
      <c r="I33" s="510">
        <v>7553.96</v>
      </c>
      <c r="J33" s="219">
        <v>0</v>
      </c>
      <c r="K33" s="219">
        <v>0</v>
      </c>
      <c r="L33" s="219">
        <v>0</v>
      </c>
      <c r="M33" s="219">
        <v>0</v>
      </c>
      <c r="N33" s="356">
        <f t="shared" si="0"/>
        <v>70559.92</v>
      </c>
    </row>
    <row r="34" spans="1:25">
      <c r="A34" s="119">
        <f t="shared" si="2"/>
        <v>2039</v>
      </c>
      <c r="B34" s="119">
        <f t="shared" si="2"/>
        <v>87</v>
      </c>
      <c r="C34" s="341">
        <f t="shared" si="2"/>
        <v>84</v>
      </c>
      <c r="D34" s="338">
        <v>0</v>
      </c>
      <c r="E34" s="339">
        <v>28152</v>
      </c>
      <c r="F34" s="219">
        <v>0</v>
      </c>
      <c r="G34" s="219">
        <v>0</v>
      </c>
      <c r="H34" s="510">
        <v>7553.96</v>
      </c>
      <c r="I34" s="510">
        <v>7553.96</v>
      </c>
      <c r="J34" s="219">
        <v>0</v>
      </c>
      <c r="K34" s="219">
        <v>0</v>
      </c>
      <c r="L34" s="219">
        <v>0</v>
      </c>
      <c r="M34" s="219">
        <v>0</v>
      </c>
      <c r="N34" s="340">
        <f t="shared" si="0"/>
        <v>43259.92</v>
      </c>
    </row>
    <row r="35" spans="1:25">
      <c r="A35" s="119">
        <f t="shared" si="2"/>
        <v>2040</v>
      </c>
      <c r="B35" s="119">
        <f t="shared" si="2"/>
        <v>88</v>
      </c>
      <c r="C35" s="119">
        <f t="shared" si="2"/>
        <v>85</v>
      </c>
      <c r="D35" s="190">
        <v>0</v>
      </c>
      <c r="E35" s="190">
        <v>28152</v>
      </c>
      <c r="F35" s="219">
        <v>0</v>
      </c>
      <c r="G35" s="219">
        <v>0</v>
      </c>
      <c r="H35" s="510">
        <v>7553.96</v>
      </c>
      <c r="I35" s="510">
        <v>7553.96</v>
      </c>
      <c r="J35" s="219">
        <v>0</v>
      </c>
      <c r="K35" s="219">
        <v>0</v>
      </c>
      <c r="L35" s="219">
        <v>0</v>
      </c>
      <c r="M35" s="219">
        <v>0</v>
      </c>
      <c r="N35" s="45">
        <f t="shared" si="0"/>
        <v>43259.92</v>
      </c>
    </row>
    <row r="36" spans="1:25">
      <c r="A36" s="119">
        <f t="shared" si="2"/>
        <v>2041</v>
      </c>
      <c r="B36" s="119">
        <f t="shared" si="2"/>
        <v>89</v>
      </c>
      <c r="C36" s="119">
        <f t="shared" si="2"/>
        <v>86</v>
      </c>
      <c r="D36" s="190">
        <v>0</v>
      </c>
      <c r="E36" s="190">
        <v>28152</v>
      </c>
      <c r="F36" s="219">
        <v>0</v>
      </c>
      <c r="G36" s="219">
        <v>0</v>
      </c>
      <c r="H36" s="510">
        <v>7553.96</v>
      </c>
      <c r="I36" s="510">
        <v>7553.96</v>
      </c>
      <c r="J36" s="219">
        <v>0</v>
      </c>
      <c r="K36" s="219">
        <v>0</v>
      </c>
      <c r="L36" s="219">
        <v>0</v>
      </c>
      <c r="M36" s="219">
        <v>0</v>
      </c>
      <c r="N36" s="45">
        <f t="shared" si="0"/>
        <v>43259.92</v>
      </c>
    </row>
    <row r="37" spans="1:25">
      <c r="A37" s="119">
        <f t="shared" si="2"/>
        <v>2042</v>
      </c>
      <c r="B37" s="119">
        <f t="shared" si="2"/>
        <v>90</v>
      </c>
      <c r="C37" s="119">
        <f t="shared" si="2"/>
        <v>87</v>
      </c>
      <c r="D37" s="190">
        <v>0</v>
      </c>
      <c r="E37" s="190">
        <v>28152</v>
      </c>
      <c r="F37" s="219">
        <v>0</v>
      </c>
      <c r="G37" s="219">
        <v>0</v>
      </c>
      <c r="H37" s="510">
        <v>7553.96</v>
      </c>
      <c r="I37" s="510">
        <v>7553.96</v>
      </c>
      <c r="J37" s="219">
        <v>0</v>
      </c>
      <c r="K37" s="219">
        <v>0</v>
      </c>
      <c r="L37" s="219">
        <v>0</v>
      </c>
      <c r="M37" s="219">
        <v>0</v>
      </c>
      <c r="N37" s="45">
        <f t="shared" si="0"/>
        <v>43259.92</v>
      </c>
    </row>
    <row r="38" spans="1:25">
      <c r="A38" s="137">
        <f t="shared" si="2"/>
        <v>2043</v>
      </c>
      <c r="B38" s="137">
        <f t="shared" si="2"/>
        <v>91</v>
      </c>
      <c r="C38" s="137">
        <f t="shared" si="2"/>
        <v>88</v>
      </c>
      <c r="D38" s="190">
        <v>0</v>
      </c>
      <c r="E38" s="190">
        <v>28152</v>
      </c>
      <c r="F38" s="219">
        <v>0</v>
      </c>
      <c r="G38" s="219">
        <v>0</v>
      </c>
      <c r="H38" s="510">
        <v>7553.96</v>
      </c>
      <c r="I38" s="510">
        <v>7553.96</v>
      </c>
      <c r="J38" s="219">
        <v>0</v>
      </c>
      <c r="K38" s="219">
        <v>0</v>
      </c>
      <c r="L38" s="219">
        <v>0</v>
      </c>
      <c r="M38" s="219">
        <v>0</v>
      </c>
      <c r="N38" s="45">
        <f t="shared" si="0"/>
        <v>43259.92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6:L6"/>
    <mergeCell ref="D7:L7"/>
    <mergeCell ref="A10:C10"/>
    <mergeCell ref="D1:K1"/>
    <mergeCell ref="L1:M1"/>
    <mergeCell ref="E2:K2"/>
    <mergeCell ref="C3:M3"/>
    <mergeCell ref="C4:M4"/>
    <mergeCell ref="D5:L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showGridLines="0" workbookViewId="0"/>
  </sheetViews>
  <sheetFormatPr defaultRowHeight="12.4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469"/>
      <c r="D1" s="2026"/>
      <c r="E1" s="2026"/>
      <c r="F1" s="2026"/>
      <c r="G1" s="2026"/>
      <c r="H1" s="2026"/>
      <c r="I1" s="2026"/>
      <c r="J1" s="2026"/>
      <c r="K1" s="2026"/>
      <c r="L1" s="2114" t="s">
        <v>713</v>
      </c>
      <c r="M1" s="2114"/>
      <c r="N1" s="465">
        <v>75000</v>
      </c>
    </row>
    <row r="2" spans="1:25" ht="20.3">
      <c r="A2" s="302"/>
      <c r="B2" s="304"/>
      <c r="C2" s="468"/>
      <c r="D2" s="463"/>
      <c r="E2" s="2115" t="str" cm="1">
        <f t="array" ref="E2:K2">'AS with changes'!E3:K3</f>
        <v>William C Ross and Catherine A Ross</v>
      </c>
      <c r="F2" s="2116">
        <v>0</v>
      </c>
      <c r="G2" s="2116">
        <v>0</v>
      </c>
      <c r="H2" s="2116">
        <v>0</v>
      </c>
      <c r="I2" s="2116">
        <v>0</v>
      </c>
      <c r="J2" s="2116">
        <v>0</v>
      </c>
      <c r="K2" s="2116">
        <v>0</v>
      </c>
      <c r="L2" s="470"/>
      <c r="M2" s="378"/>
      <c r="N2" s="466">
        <f>'AS with changes'!G1</f>
        <v>42677</v>
      </c>
    </row>
    <row r="3" spans="1:25" ht="24.05" customHeight="1">
      <c r="A3" s="302"/>
      <c r="B3" s="304"/>
      <c r="C3" s="2117" t="s">
        <v>803</v>
      </c>
      <c r="D3" s="2117"/>
      <c r="E3" s="2117"/>
      <c r="F3" s="2117"/>
      <c r="G3" s="2117"/>
      <c r="H3" s="2117"/>
      <c r="I3" s="2117"/>
      <c r="J3" s="2117"/>
      <c r="K3" s="2117"/>
      <c r="L3" s="2117"/>
      <c r="M3" s="2117"/>
      <c r="N3" s="467">
        <v>75000</v>
      </c>
    </row>
    <row r="4" spans="1:25" ht="19">
      <c r="A4" s="302"/>
      <c r="B4" s="304"/>
      <c r="C4" s="2081" t="s">
        <v>841</v>
      </c>
      <c r="D4" s="2082"/>
      <c r="E4" s="2082"/>
      <c r="F4" s="2082"/>
      <c r="G4" s="2082"/>
      <c r="H4" s="2082"/>
      <c r="I4" s="2082"/>
      <c r="J4" s="2082"/>
      <c r="K4" s="2082"/>
      <c r="L4" s="2082"/>
      <c r="M4" s="2082"/>
      <c r="N4" s="471"/>
    </row>
    <row r="5" spans="1:25" ht="17.7">
      <c r="A5" s="302"/>
      <c r="B5" s="304"/>
      <c r="C5" s="300"/>
      <c r="D5" s="2142" t="s">
        <v>842</v>
      </c>
      <c r="E5" s="2143"/>
      <c r="F5" s="2143"/>
      <c r="G5" s="2143"/>
      <c r="H5" s="2143"/>
      <c r="I5" s="2143"/>
      <c r="J5" s="2143"/>
      <c r="K5" s="2143"/>
      <c r="L5" s="2143"/>
      <c r="M5" s="331">
        <f>'AS with changes'!M4</f>
        <v>19109</v>
      </c>
      <c r="N5" s="335">
        <f>'AS with changes'!O4</f>
        <v>64</v>
      </c>
    </row>
    <row r="6" spans="1:25" ht="15.05">
      <c r="A6" s="302"/>
      <c r="B6" s="304"/>
      <c r="C6" s="300"/>
      <c r="D6" s="2119"/>
      <c r="E6" s="2119"/>
      <c r="F6" s="2119"/>
      <c r="G6" s="2119"/>
      <c r="H6" s="2119"/>
      <c r="I6" s="2119"/>
      <c r="J6" s="2119"/>
      <c r="K6" s="2119"/>
      <c r="L6" s="2119"/>
      <c r="M6" s="439">
        <f>'AS with changes'!M5</f>
        <v>20124</v>
      </c>
      <c r="N6" s="336">
        <f>'AS with changes'!O5</f>
        <v>61</v>
      </c>
    </row>
    <row r="7" spans="1:25">
      <c r="A7" s="305"/>
      <c r="B7" s="304"/>
      <c r="C7" s="300"/>
      <c r="D7" s="2028"/>
      <c r="E7" s="2028"/>
      <c r="F7" s="2028"/>
      <c r="G7" s="2028"/>
      <c r="H7" s="2028"/>
      <c r="I7" s="2028"/>
      <c r="J7" s="2028"/>
      <c r="K7" s="2028"/>
      <c r="L7" s="2028"/>
      <c r="M7" s="378"/>
      <c r="N7" s="442"/>
    </row>
    <row r="8" spans="1:25" s="37" customFormat="1" ht="100" customHeight="1">
      <c r="A8" s="212" t="s">
        <v>26</v>
      </c>
      <c r="B8" s="212" t="s">
        <v>591</v>
      </c>
      <c r="C8" s="212" t="s">
        <v>592</v>
      </c>
      <c r="D8" s="374" t="s">
        <v>383</v>
      </c>
      <c r="E8" s="139" t="s">
        <v>524</v>
      </c>
      <c r="F8" s="136" t="s">
        <v>148</v>
      </c>
      <c r="G8" s="139" t="s">
        <v>154</v>
      </c>
      <c r="H8" s="479" t="s">
        <v>805</v>
      </c>
      <c r="I8" s="478" t="s">
        <v>806</v>
      </c>
      <c r="J8" s="36"/>
      <c r="K8" s="36"/>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810</v>
      </c>
      <c r="I10" s="440" t="s">
        <v>810</v>
      </c>
      <c r="J10" s="217"/>
      <c r="K10" s="217"/>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4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219">
        <v>0</v>
      </c>
      <c r="K14" s="219">
        <v>0</v>
      </c>
      <c r="L14" s="219">
        <v>0</v>
      </c>
      <c r="M14" s="219">
        <v>0</v>
      </c>
      <c r="N14" s="45">
        <f t="shared" si="0"/>
        <v>75595.899999999994</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219">
        <v>0</v>
      </c>
      <c r="K15" s="219">
        <v>0</v>
      </c>
      <c r="L15" s="219">
        <v>0</v>
      </c>
      <c r="M15" s="219">
        <v>0</v>
      </c>
      <c r="N15" s="375">
        <f t="shared" si="0"/>
        <v>75595.899999999994</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219">
        <v>0</v>
      </c>
      <c r="K16" s="219">
        <v>0</v>
      </c>
      <c r="L16" s="219">
        <v>0</v>
      </c>
      <c r="M16" s="219">
        <v>0</v>
      </c>
      <c r="N16" s="45">
        <f t="shared" si="0"/>
        <v>75595.899999999994</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219">
        <v>0</v>
      </c>
      <c r="K17" s="219">
        <v>0</v>
      </c>
      <c r="L17" s="219">
        <v>0</v>
      </c>
      <c r="M17" s="219">
        <v>0</v>
      </c>
      <c r="N17" s="45">
        <f t="shared" si="0"/>
        <v>75595.899999999994</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219">
        <v>0</v>
      </c>
      <c r="K18" s="219">
        <v>0</v>
      </c>
      <c r="L18" s="219">
        <v>0</v>
      </c>
      <c r="M18" s="219">
        <v>0</v>
      </c>
      <c r="N18" s="45">
        <f t="shared" si="0"/>
        <v>75595.899999999994</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219">
        <v>0</v>
      </c>
      <c r="K19" s="219">
        <v>0</v>
      </c>
      <c r="L19" s="219">
        <v>0</v>
      </c>
      <c r="M19" s="219">
        <v>0</v>
      </c>
      <c r="N19" s="45">
        <f t="shared" si="0"/>
        <v>75595.899999999994</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219">
        <v>0</v>
      </c>
      <c r="K20" s="219">
        <v>0</v>
      </c>
      <c r="L20" s="219">
        <v>0</v>
      </c>
      <c r="M20" s="219">
        <v>0</v>
      </c>
      <c r="N20" s="45">
        <f t="shared" si="0"/>
        <v>75595.899999999994</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219">
        <v>0</v>
      </c>
      <c r="K21" s="219">
        <v>0</v>
      </c>
      <c r="L21" s="219">
        <v>0</v>
      </c>
      <c r="M21" s="219">
        <v>0</v>
      </c>
      <c r="N21" s="45">
        <f t="shared" si="0"/>
        <v>75595.899999999994</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219">
        <v>0</v>
      </c>
      <c r="K22" s="219">
        <v>0</v>
      </c>
      <c r="L22" s="219">
        <v>0</v>
      </c>
      <c r="M22" s="219">
        <v>0</v>
      </c>
      <c r="N22" s="45">
        <f t="shared" si="0"/>
        <v>75595.899999999994</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219">
        <v>0</v>
      </c>
      <c r="K23" s="219">
        <v>0</v>
      </c>
      <c r="L23" s="219">
        <v>0</v>
      </c>
      <c r="M23" s="219">
        <v>0</v>
      </c>
      <c r="N23" s="45">
        <f t="shared" si="0"/>
        <v>75595.899999999994</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219">
        <v>0</v>
      </c>
      <c r="K24" s="219">
        <v>0</v>
      </c>
      <c r="L24" s="219">
        <v>0</v>
      </c>
      <c r="M24" s="219">
        <v>0</v>
      </c>
      <c r="N24" s="45">
        <f t="shared" si="0"/>
        <v>75595.899999999994</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219">
        <v>0</v>
      </c>
      <c r="K25" s="219">
        <v>0</v>
      </c>
      <c r="L25" s="219">
        <v>0</v>
      </c>
      <c r="M25" s="219">
        <v>0</v>
      </c>
      <c r="N25" s="45">
        <f t="shared" si="0"/>
        <v>75595.899999999994</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219">
        <v>0</v>
      </c>
      <c r="K26" s="219">
        <v>0</v>
      </c>
      <c r="L26" s="219">
        <v>0</v>
      </c>
      <c r="M26" s="219">
        <v>0</v>
      </c>
      <c r="N26" s="45">
        <f t="shared" si="0"/>
        <v>75595.899999999994</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219">
        <v>0</v>
      </c>
      <c r="K27" s="219">
        <v>0</v>
      </c>
      <c r="L27" s="219">
        <v>0</v>
      </c>
      <c r="M27" s="219">
        <v>0</v>
      </c>
      <c r="N27" s="45">
        <f t="shared" si="0"/>
        <v>75595.899999999994</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219">
        <v>0</v>
      </c>
      <c r="K28" s="219">
        <v>0</v>
      </c>
      <c r="L28" s="219">
        <v>0</v>
      </c>
      <c r="M28" s="219">
        <v>0</v>
      </c>
      <c r="N28" s="45">
        <f t="shared" si="0"/>
        <v>75595.899999999994</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219">
        <v>0</v>
      </c>
      <c r="K29" s="219">
        <v>0</v>
      </c>
      <c r="L29" s="219">
        <v>0</v>
      </c>
      <c r="M29" s="219">
        <v>0</v>
      </c>
      <c r="N29" s="45">
        <f t="shared" si="0"/>
        <v>75595.899999999994</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219">
        <v>0</v>
      </c>
      <c r="K30" s="219">
        <v>0</v>
      </c>
      <c r="L30" s="219">
        <v>0</v>
      </c>
      <c r="M30" s="219">
        <v>0</v>
      </c>
      <c r="N30" s="45">
        <f t="shared" si="0"/>
        <v>75595.899999999994</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219">
        <v>0</v>
      </c>
      <c r="K31" s="219">
        <v>0</v>
      </c>
      <c r="L31" s="219">
        <v>0</v>
      </c>
      <c r="M31" s="219">
        <v>0</v>
      </c>
      <c r="N31" s="45">
        <f t="shared" si="0"/>
        <v>75595.899999999994</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219">
        <v>0</v>
      </c>
      <c r="K32" s="219">
        <v>0</v>
      </c>
      <c r="L32" s="219">
        <v>0</v>
      </c>
      <c r="M32" s="219">
        <v>0</v>
      </c>
      <c r="N32" s="45">
        <f t="shared" si="0"/>
        <v>75595.899999999994</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219">
        <v>0</v>
      </c>
      <c r="K33" s="219">
        <v>0</v>
      </c>
      <c r="L33" s="219">
        <v>0</v>
      </c>
      <c r="M33" s="219">
        <v>0</v>
      </c>
      <c r="N33" s="356">
        <f t="shared" si="0"/>
        <v>75595.899999999994</v>
      </c>
    </row>
    <row r="34" spans="1:25">
      <c r="A34" s="119">
        <f t="shared" si="2"/>
        <v>2039</v>
      </c>
      <c r="B34" s="119">
        <f t="shared" si="2"/>
        <v>87</v>
      </c>
      <c r="C34" s="341">
        <f t="shared" si="2"/>
        <v>84</v>
      </c>
      <c r="D34" s="338">
        <v>0</v>
      </c>
      <c r="E34" s="339">
        <v>28152</v>
      </c>
      <c r="F34" s="219">
        <v>0</v>
      </c>
      <c r="G34" s="219">
        <v>0</v>
      </c>
      <c r="H34" s="480">
        <v>10071.950000000001</v>
      </c>
      <c r="I34" s="480">
        <v>10071.950000000001</v>
      </c>
      <c r="J34" s="219">
        <v>0</v>
      </c>
      <c r="K34" s="219">
        <v>0</v>
      </c>
      <c r="L34" s="219">
        <v>0</v>
      </c>
      <c r="M34" s="219">
        <v>0</v>
      </c>
      <c r="N34" s="340">
        <f t="shared" si="0"/>
        <v>48295.899999999994</v>
      </c>
    </row>
    <row r="35" spans="1:25">
      <c r="A35" s="119">
        <f t="shared" si="2"/>
        <v>2040</v>
      </c>
      <c r="B35" s="119">
        <f t="shared" si="2"/>
        <v>88</v>
      </c>
      <c r="C35" s="119">
        <f t="shared" si="2"/>
        <v>85</v>
      </c>
      <c r="D35" s="190">
        <v>0</v>
      </c>
      <c r="E35" s="339">
        <v>28152</v>
      </c>
      <c r="F35" s="219">
        <v>0</v>
      </c>
      <c r="G35" s="219">
        <v>0</v>
      </c>
      <c r="H35" s="480">
        <v>10071.950000000001</v>
      </c>
      <c r="I35" s="480">
        <v>10071.950000000001</v>
      </c>
      <c r="J35" s="219">
        <v>0</v>
      </c>
      <c r="K35" s="219">
        <v>0</v>
      </c>
      <c r="L35" s="219">
        <v>0</v>
      </c>
      <c r="M35" s="219">
        <v>0</v>
      </c>
      <c r="N35" s="45">
        <f t="shared" si="0"/>
        <v>48295.899999999994</v>
      </c>
    </row>
    <row r="36" spans="1:25">
      <c r="A36" s="119">
        <f t="shared" si="2"/>
        <v>2041</v>
      </c>
      <c r="B36" s="119">
        <f t="shared" si="2"/>
        <v>89</v>
      </c>
      <c r="C36" s="119">
        <f t="shared" si="2"/>
        <v>86</v>
      </c>
      <c r="D36" s="190">
        <v>0</v>
      </c>
      <c r="E36" s="339">
        <v>28152</v>
      </c>
      <c r="F36" s="219">
        <v>0</v>
      </c>
      <c r="G36" s="219">
        <v>0</v>
      </c>
      <c r="H36" s="480">
        <v>10071.950000000001</v>
      </c>
      <c r="I36" s="480">
        <v>10071.950000000001</v>
      </c>
      <c r="J36" s="219">
        <v>0</v>
      </c>
      <c r="K36" s="219">
        <v>0</v>
      </c>
      <c r="L36" s="219">
        <v>0</v>
      </c>
      <c r="M36" s="219">
        <v>0</v>
      </c>
      <c r="N36" s="45">
        <f t="shared" si="0"/>
        <v>48295.899999999994</v>
      </c>
    </row>
    <row r="37" spans="1:25">
      <c r="A37" s="119">
        <f t="shared" si="2"/>
        <v>2042</v>
      </c>
      <c r="B37" s="119">
        <f t="shared" si="2"/>
        <v>90</v>
      </c>
      <c r="C37" s="119">
        <f t="shared" si="2"/>
        <v>87</v>
      </c>
      <c r="D37" s="190">
        <v>0</v>
      </c>
      <c r="E37" s="339">
        <v>28152</v>
      </c>
      <c r="F37" s="219">
        <v>0</v>
      </c>
      <c r="G37" s="219">
        <v>0</v>
      </c>
      <c r="H37" s="480">
        <v>10071.950000000001</v>
      </c>
      <c r="I37" s="480">
        <v>10071.950000000001</v>
      </c>
      <c r="J37" s="219">
        <v>0</v>
      </c>
      <c r="K37" s="219">
        <v>0</v>
      </c>
      <c r="L37" s="219">
        <v>0</v>
      </c>
      <c r="M37" s="219">
        <v>0</v>
      </c>
      <c r="N37" s="45">
        <f t="shared" si="0"/>
        <v>48295.899999999994</v>
      </c>
    </row>
    <row r="38" spans="1:25">
      <c r="A38" s="137">
        <f t="shared" si="2"/>
        <v>2043</v>
      </c>
      <c r="B38" s="137">
        <f t="shared" si="2"/>
        <v>91</v>
      </c>
      <c r="C38" s="137">
        <f t="shared" si="2"/>
        <v>88</v>
      </c>
      <c r="D38" s="190">
        <v>0</v>
      </c>
      <c r="E38" s="339">
        <v>28152</v>
      </c>
      <c r="F38" s="219">
        <v>0</v>
      </c>
      <c r="G38" s="219">
        <v>0</v>
      </c>
      <c r="H38" s="480">
        <v>10071.950000000001</v>
      </c>
      <c r="I38" s="480">
        <v>10071.950000000001</v>
      </c>
      <c r="J38" s="219">
        <v>0</v>
      </c>
      <c r="K38" s="219">
        <v>0</v>
      </c>
      <c r="L38" s="219">
        <v>0</v>
      </c>
      <c r="M38" s="219">
        <v>0</v>
      </c>
      <c r="N38" s="45">
        <f t="shared" si="0"/>
        <v>48295.899999999994</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7:L7"/>
    <mergeCell ref="A10:C10"/>
    <mergeCell ref="L1:M1"/>
    <mergeCell ref="E2:K2"/>
    <mergeCell ref="C3:M3"/>
    <mergeCell ref="C4:M4"/>
    <mergeCell ref="D5:L5"/>
    <mergeCell ref="D6:L6"/>
    <mergeCell ref="D1:K1"/>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49995422223578601"/>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608" t="s">
        <v>136</v>
      </c>
      <c r="F1" s="1608"/>
      <c r="G1" s="309">
        <v>42677</v>
      </c>
      <c r="H1" s="308"/>
      <c r="I1" s="308"/>
      <c r="M1" s="192" t="s">
        <v>843</v>
      </c>
      <c r="O1" s="191">
        <v>27300</v>
      </c>
    </row>
    <row r="2" spans="1:16" ht="20.3">
      <c r="B2" s="422">
        <f>'AS Silver changes'!L3405</f>
        <v>0</v>
      </c>
      <c r="D2" s="2145" t="s">
        <v>844</v>
      </c>
      <c r="E2" s="2145"/>
      <c r="F2" s="2145"/>
      <c r="G2" s="2145"/>
      <c r="H2" s="2145"/>
      <c r="I2" s="2145"/>
      <c r="J2" s="2145"/>
      <c r="K2" s="2145"/>
      <c r="L2" s="2145"/>
      <c r="M2" s="192" t="s">
        <v>845</v>
      </c>
      <c r="O2" s="191">
        <v>28152</v>
      </c>
    </row>
    <row r="3" spans="1:16" ht="20.3">
      <c r="E3" s="1987" t="s">
        <v>846</v>
      </c>
      <c r="F3" s="1987"/>
      <c r="G3" s="1987"/>
      <c r="H3" s="1987"/>
      <c r="I3" s="1987"/>
      <c r="J3" s="1987"/>
      <c r="K3" s="1987"/>
      <c r="L3" s="423"/>
      <c r="M3" s="192" t="s">
        <v>847</v>
      </c>
      <c r="N3" s="69"/>
      <c r="O3" s="311">
        <v>75000</v>
      </c>
    </row>
    <row r="4" spans="1:16" ht="17.7">
      <c r="E4" s="1610" t="s">
        <v>848</v>
      </c>
      <c r="F4" s="1610"/>
      <c r="G4" s="1610"/>
      <c r="H4" s="1610"/>
      <c r="I4" s="1610"/>
      <c r="J4" s="1610"/>
      <c r="K4" s="1610"/>
      <c r="M4" s="372">
        <v>19109</v>
      </c>
      <c r="N4" s="335" t="s">
        <v>58</v>
      </c>
      <c r="O4" s="335">
        <v>64</v>
      </c>
      <c r="P4" s="306"/>
    </row>
    <row r="5" spans="1:16" ht="17.7">
      <c r="G5" s="2146" t="s">
        <v>849</v>
      </c>
      <c r="H5" s="2146"/>
      <c r="I5" s="2146"/>
      <c r="J5" s="2146"/>
      <c r="M5" s="373">
        <v>20124</v>
      </c>
      <c r="N5" s="336" t="s">
        <v>58</v>
      </c>
      <c r="O5" s="336">
        <v>61</v>
      </c>
      <c r="P5" s="306"/>
    </row>
    <row r="6" spans="1:16" s="15" customFormat="1" ht="14.1" customHeight="1">
      <c r="A6" s="7" t="s">
        <v>850</v>
      </c>
      <c r="B6" s="8"/>
      <c r="C6" s="9"/>
      <c r="D6" s="9"/>
      <c r="E6" s="10" t="s">
        <v>139</v>
      </c>
      <c r="F6" s="11"/>
      <c r="G6" s="12" t="s">
        <v>140</v>
      </c>
      <c r="H6" s="11"/>
      <c r="I6" s="13" t="s">
        <v>141</v>
      </c>
      <c r="J6" s="13"/>
      <c r="K6" s="13" t="s">
        <v>142</v>
      </c>
      <c r="L6" s="48"/>
      <c r="M6" s="11" t="s">
        <v>143</v>
      </c>
      <c r="N6" s="11"/>
      <c r="O6" s="14" t="s">
        <v>144</v>
      </c>
    </row>
    <row r="7" spans="1:16" s="15" customFormat="1" ht="14.1" customHeight="1">
      <c r="A7" s="193" t="s">
        <v>145</v>
      </c>
      <c r="C7" s="15" t="s">
        <v>851</v>
      </c>
      <c r="E7" s="194"/>
      <c r="G7" s="18"/>
      <c r="I7" s="49"/>
      <c r="J7" s="49"/>
      <c r="K7" s="195">
        <v>32000</v>
      </c>
      <c r="L7" s="50"/>
      <c r="M7" s="49"/>
      <c r="N7" s="49"/>
      <c r="O7" s="49"/>
    </row>
    <row r="8" spans="1:16" s="15" customFormat="1" ht="14.1" customHeight="1">
      <c r="A8" s="193" t="s">
        <v>852</v>
      </c>
      <c r="C8" s="196" t="s">
        <v>853</v>
      </c>
      <c r="E8" s="194"/>
      <c r="G8" s="18"/>
      <c r="I8" s="49"/>
      <c r="J8" s="49"/>
      <c r="K8" s="195">
        <v>1000</v>
      </c>
      <c r="L8" s="50"/>
      <c r="M8" s="49"/>
      <c r="N8" s="49"/>
      <c r="O8" s="49"/>
    </row>
    <row r="9" spans="1:16" s="15" customFormat="1" ht="14.1" customHeight="1">
      <c r="A9" s="193" t="s">
        <v>854</v>
      </c>
      <c r="C9" s="196" t="s">
        <v>853</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180</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855</v>
      </c>
      <c r="B19" s="11"/>
      <c r="C19" s="9"/>
      <c r="D19" s="11"/>
      <c r="E19" s="10" t="s">
        <v>139</v>
      </c>
      <c r="F19" s="11"/>
      <c r="G19" s="12" t="s">
        <v>140</v>
      </c>
      <c r="H19" s="11"/>
      <c r="I19" s="13" t="s">
        <v>141</v>
      </c>
      <c r="J19" s="13"/>
      <c r="K19" s="13" t="s">
        <v>142</v>
      </c>
      <c r="L19" s="48"/>
      <c r="M19" s="11" t="s">
        <v>143</v>
      </c>
      <c r="N19" s="11"/>
      <c r="O19" s="14" t="s">
        <v>144</v>
      </c>
    </row>
    <row r="20" spans="1:15" s="15" customFormat="1" ht="14.1" customHeight="1">
      <c r="A20" s="16" t="s">
        <v>852</v>
      </c>
      <c r="B20" s="197"/>
      <c r="C20" s="429" t="s">
        <v>856</v>
      </c>
      <c r="D20" s="198" t="s">
        <v>158</v>
      </c>
      <c r="E20" s="196"/>
      <c r="G20" s="200"/>
      <c r="I20" s="201"/>
      <c r="J20" s="49"/>
      <c r="K20" s="494">
        <v>21820.68</v>
      </c>
      <c r="L20" s="50"/>
      <c r="M20" s="49"/>
      <c r="N20" s="49"/>
      <c r="O20" s="49"/>
    </row>
    <row r="21" spans="1:15" s="15" customFormat="1" ht="14.1" customHeight="1">
      <c r="A21" s="52" t="s">
        <v>852</v>
      </c>
      <c r="B21" s="203"/>
      <c r="C21" s="429" t="s">
        <v>857</v>
      </c>
      <c r="D21" s="198" t="s">
        <v>262</v>
      </c>
      <c r="E21" s="2147" t="s">
        <v>858</v>
      </c>
      <c r="F21" s="2147"/>
      <c r="G21" s="2147"/>
      <c r="H21" s="2147"/>
      <c r="I21" s="2147"/>
      <c r="J21" s="2147"/>
      <c r="K21" s="495">
        <v>573547.48</v>
      </c>
      <c r="L21" s="507" t="s">
        <v>859</v>
      </c>
      <c r="M21" s="506">
        <v>72093</v>
      </c>
      <c r="N21" s="49"/>
      <c r="O21" s="443"/>
    </row>
    <row r="22" spans="1:15" s="15" customFormat="1" ht="14.1" customHeight="1">
      <c r="A22" s="52" t="s">
        <v>852</v>
      </c>
      <c r="B22" s="203"/>
      <c r="C22" s="429" t="s">
        <v>860</v>
      </c>
      <c r="D22" s="198" t="s">
        <v>262</v>
      </c>
      <c r="E22" s="2147" t="s">
        <v>861</v>
      </c>
      <c r="F22" s="2147"/>
      <c r="G22" s="2147"/>
      <c r="H22" s="2147"/>
      <c r="I22" s="2147"/>
      <c r="J22" s="2147"/>
      <c r="K22" s="205">
        <v>0</v>
      </c>
      <c r="L22" s="507" t="s">
        <v>859</v>
      </c>
      <c r="M22" s="506">
        <v>68032</v>
      </c>
      <c r="N22" s="49"/>
      <c r="O22" s="205"/>
    </row>
    <row r="23" spans="1:15" s="15" customFormat="1" ht="14.1" customHeight="1">
      <c r="A23" s="52" t="s">
        <v>852</v>
      </c>
      <c r="B23" s="203"/>
      <c r="C23" s="196" t="s">
        <v>862</v>
      </c>
      <c r="D23" s="198" t="s">
        <v>262</v>
      </c>
      <c r="E23" s="194" t="s">
        <v>863</v>
      </c>
      <c r="G23" s="475" t="s">
        <v>864</v>
      </c>
      <c r="I23" s="201"/>
      <c r="J23" s="49"/>
      <c r="K23" s="201">
        <v>0</v>
      </c>
      <c r="L23" s="507" t="s">
        <v>859</v>
      </c>
      <c r="M23" s="506">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854</v>
      </c>
      <c r="B26" s="203"/>
      <c r="C26" s="429" t="s">
        <v>865</v>
      </c>
      <c r="D26" s="198" t="s">
        <v>158</v>
      </c>
      <c r="E26" s="2148" t="s">
        <v>866</v>
      </c>
      <c r="F26" s="2148"/>
      <c r="G26" s="2148"/>
      <c r="H26" s="2148"/>
      <c r="I26" s="2148"/>
      <c r="J26" s="2148"/>
      <c r="K26" s="495">
        <v>347357</v>
      </c>
      <c r="L26" s="507" t="s">
        <v>859</v>
      </c>
      <c r="M26" s="506">
        <v>101173</v>
      </c>
      <c r="N26" s="49"/>
      <c r="O26" s="49"/>
    </row>
    <row r="27" spans="1:15" s="15" customFormat="1" ht="14.1" customHeight="1">
      <c r="A27" s="52" t="s">
        <v>854</v>
      </c>
      <c r="B27" s="203"/>
      <c r="C27" s="196" t="s">
        <v>867</v>
      </c>
      <c r="D27" s="198" t="s">
        <v>262</v>
      </c>
      <c r="E27" s="194" t="s">
        <v>868</v>
      </c>
      <c r="G27" s="18">
        <v>30359</v>
      </c>
      <c r="H27" s="2149" t="s">
        <v>864</v>
      </c>
      <c r="I27" s="2149"/>
      <c r="J27" s="2149"/>
      <c r="K27" s="201">
        <v>0</v>
      </c>
      <c r="L27" s="507" t="s">
        <v>859</v>
      </c>
      <c r="M27" s="506">
        <v>9875</v>
      </c>
      <c r="N27" s="49"/>
      <c r="O27" s="49"/>
    </row>
    <row r="28" spans="1:15" s="15" customFormat="1" ht="14.1" customHeight="1">
      <c r="A28" s="52" t="s">
        <v>854</v>
      </c>
      <c r="B28" s="203"/>
      <c r="C28" s="196" t="s">
        <v>862</v>
      </c>
      <c r="D28" s="198" t="s">
        <v>262</v>
      </c>
      <c r="E28" s="194" t="s">
        <v>869</v>
      </c>
      <c r="G28" s="18">
        <v>29978</v>
      </c>
      <c r="I28" s="477" t="s">
        <v>864</v>
      </c>
      <c r="J28" s="49"/>
      <c r="K28" s="201">
        <v>0</v>
      </c>
      <c r="L28" s="507" t="s">
        <v>859</v>
      </c>
      <c r="M28" s="506">
        <v>16913</v>
      </c>
      <c r="N28" s="49"/>
      <c r="O28" s="49"/>
    </row>
    <row r="29" spans="1:15" s="15" customFormat="1" ht="14.1" customHeight="1">
      <c r="A29" s="52" t="s">
        <v>854</v>
      </c>
      <c r="B29" s="203"/>
      <c r="C29" s="196" t="s">
        <v>860</v>
      </c>
      <c r="D29" s="198" t="s">
        <v>262</v>
      </c>
      <c r="E29" s="2150" t="s">
        <v>870</v>
      </c>
      <c r="F29" s="2150"/>
      <c r="G29" s="2150"/>
      <c r="H29" s="2150"/>
      <c r="I29" s="2150"/>
      <c r="J29" s="2150"/>
      <c r="K29" s="201">
        <v>0</v>
      </c>
      <c r="L29" s="507" t="s">
        <v>859</v>
      </c>
      <c r="M29" s="508">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51" t="s">
        <v>871</v>
      </c>
      <c r="D31" s="1651"/>
      <c r="E31" s="1651"/>
      <c r="F31" s="1651"/>
      <c r="G31" s="1651"/>
      <c r="H31" s="1651"/>
      <c r="I31" s="1651"/>
      <c r="J31" s="49"/>
      <c r="K31" s="202"/>
      <c r="L31" s="50"/>
      <c r="M31" s="493">
        <f>SUM(K20:K31)</f>
        <v>942725.16</v>
      </c>
      <c r="N31" s="49"/>
      <c r="O31" s="49"/>
    </row>
    <row r="32" spans="1:15" s="15" customFormat="1" ht="14.1" customHeight="1">
      <c r="A32" s="16"/>
      <c r="E32" s="17"/>
      <c r="G32" s="18"/>
      <c r="I32" s="49"/>
      <c r="J32" s="49"/>
      <c r="K32" s="202" t="s">
        <v>180</v>
      </c>
      <c r="L32" s="50"/>
      <c r="M32" s="205"/>
      <c r="N32" s="49"/>
      <c r="O32" s="195"/>
    </row>
    <row r="33" spans="1:17" ht="17.7">
      <c r="C33" s="2144" t="s">
        <v>872</v>
      </c>
      <c r="D33" s="2144"/>
      <c r="E33" s="2144"/>
      <c r="F33" s="2144"/>
      <c r="G33" s="2144"/>
      <c r="H33" s="2144"/>
      <c r="I33" s="2144"/>
      <c r="M33" s="509">
        <f>SUM(M20:M29)</f>
        <v>300000</v>
      </c>
    </row>
    <row r="34" spans="1:17" s="15" customFormat="1" ht="14.1" customHeight="1">
      <c r="A34" s="16"/>
      <c r="B34" s="16"/>
      <c r="E34" s="17"/>
      <c r="G34" s="18"/>
      <c r="I34" s="145"/>
      <c r="J34" s="146"/>
      <c r="K34" s="145"/>
      <c r="L34" s="50"/>
      <c r="O34" s="205">
        <f>SUM(K20:K30,M33)</f>
        <v>1242725.1600000001</v>
      </c>
    </row>
    <row r="35" spans="1:17" s="15" customFormat="1" ht="14.1" customHeight="1">
      <c r="A35" s="7" t="s">
        <v>166</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1282725.1600000001</v>
      </c>
    </row>
    <row r="37" spans="1:17" s="15" customFormat="1" ht="14.1" customHeight="1">
      <c r="A37" s="7" t="s">
        <v>167</v>
      </c>
      <c r="B37" s="9"/>
      <c r="C37" s="9"/>
      <c r="D37" s="9"/>
      <c r="E37" s="10" t="s">
        <v>168</v>
      </c>
      <c r="F37" s="11"/>
      <c r="G37" s="12" t="s">
        <v>169</v>
      </c>
      <c r="H37" s="11"/>
      <c r="I37" s="11" t="s">
        <v>170</v>
      </c>
      <c r="J37" s="11"/>
      <c r="K37" s="11" t="s">
        <v>171</v>
      </c>
      <c r="L37" s="48"/>
      <c r="M37" s="11" t="s">
        <v>172</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854</v>
      </c>
      <c r="C39" s="196" t="s">
        <v>867</v>
      </c>
      <c r="E39" s="17" t="s">
        <v>873</v>
      </c>
      <c r="G39" s="18"/>
      <c r="I39" s="49"/>
      <c r="J39" s="49"/>
      <c r="K39" s="143">
        <v>51323.73</v>
      </c>
      <c r="L39" s="56"/>
      <c r="M39" s="206">
        <v>97893</v>
      </c>
      <c r="N39" s="57"/>
      <c r="O39" s="58"/>
    </row>
    <row r="40" spans="1:17" s="15" customFormat="1" ht="14.1" customHeight="1">
      <c r="A40" s="16" t="s">
        <v>854</v>
      </c>
      <c r="C40" s="196" t="s">
        <v>867</v>
      </c>
      <c r="E40" s="17" t="s">
        <v>874</v>
      </c>
      <c r="G40" s="18"/>
      <c r="I40" s="49"/>
      <c r="J40" s="49"/>
      <c r="K40" s="143">
        <v>17535.72</v>
      </c>
      <c r="L40" s="56"/>
      <c r="M40" s="206">
        <v>81073</v>
      </c>
      <c r="N40" s="57"/>
      <c r="O40" s="58"/>
    </row>
    <row r="41" spans="1:17" s="15" customFormat="1" ht="14.1" customHeight="1">
      <c r="A41" s="16" t="s">
        <v>852</v>
      </c>
      <c r="C41" s="196" t="s">
        <v>867</v>
      </c>
      <c r="E41" s="17" t="s">
        <v>874</v>
      </c>
      <c r="G41" s="18"/>
      <c r="I41" s="49"/>
      <c r="J41" s="49"/>
      <c r="K41" s="143">
        <v>48829.91</v>
      </c>
      <c r="L41" s="56"/>
      <c r="M41" s="206">
        <v>150000</v>
      </c>
      <c r="N41" s="57"/>
      <c r="O41" s="58"/>
    </row>
    <row r="42" spans="1:17" s="15" customFormat="1" ht="13.6" customHeight="1">
      <c r="A42" s="16" t="s">
        <v>852</v>
      </c>
      <c r="C42" s="196" t="s">
        <v>867</v>
      </c>
      <c r="E42" s="17" t="s">
        <v>873</v>
      </c>
      <c r="G42" s="18"/>
      <c r="I42" s="49"/>
      <c r="J42" s="49"/>
      <c r="K42" s="143">
        <v>33767.31</v>
      </c>
      <c r="L42" s="56"/>
      <c r="M42" s="206">
        <v>60526</v>
      </c>
      <c r="N42" s="57"/>
      <c r="O42" s="58"/>
    </row>
    <row r="43" spans="1:17" s="15" customFormat="1" ht="13.6" customHeight="1">
      <c r="A43" s="16"/>
      <c r="E43" s="153"/>
      <c r="G43" s="18"/>
      <c r="I43" s="49"/>
      <c r="J43" s="49"/>
      <c r="K43" s="151" t="s">
        <v>174</v>
      </c>
      <c r="L43" s="56"/>
      <c r="M43" s="147"/>
      <c r="N43" s="57"/>
      <c r="O43" s="58">
        <f>SUM(K39:K42)</f>
        <v>151456.67000000001</v>
      </c>
    </row>
    <row r="44" spans="1:17" s="2" customFormat="1" ht="13.6" customHeight="1">
      <c r="A44" s="24" t="s">
        <v>175</v>
      </c>
      <c r="B44" s="29"/>
      <c r="C44" s="30"/>
      <c r="D44" s="29"/>
      <c r="E44" s="13" t="s">
        <v>176</v>
      </c>
      <c r="F44" s="25"/>
      <c r="G44" s="25" t="s">
        <v>169</v>
      </c>
      <c r="H44" s="26"/>
      <c r="I44" s="25" t="s">
        <v>170</v>
      </c>
      <c r="J44" s="11"/>
      <c r="K44" s="26" t="s">
        <v>177</v>
      </c>
      <c r="L44" s="25"/>
      <c r="M44" s="13" t="s">
        <v>178</v>
      </c>
      <c r="N44" s="11"/>
      <c r="O44" s="27" t="s">
        <v>179</v>
      </c>
      <c r="P44" s="28"/>
      <c r="Q44" s="28"/>
    </row>
    <row r="45" spans="1:17" ht="14.1" customHeight="1">
      <c r="A45" s="16" t="s">
        <v>852</v>
      </c>
      <c r="B45" s="31"/>
      <c r="C45" s="196"/>
      <c r="D45" s="2"/>
      <c r="E45" s="32"/>
      <c r="F45" s="2"/>
      <c r="G45" s="5"/>
      <c r="H45" s="2"/>
      <c r="I45" s="369" t="s">
        <v>180</v>
      </c>
      <c r="J45" s="61"/>
      <c r="K45" s="370" t="s">
        <v>180</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854</v>
      </c>
      <c r="B47" s="31"/>
      <c r="C47" s="196"/>
      <c r="D47" s="2"/>
      <c r="E47" s="32"/>
      <c r="F47" s="2"/>
      <c r="G47" s="5"/>
      <c r="H47" s="2"/>
      <c r="I47" s="369" t="s">
        <v>180</v>
      </c>
      <c r="J47" s="61"/>
      <c r="K47" s="62" t="s">
        <v>180</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181</v>
      </c>
      <c r="B49" s="8"/>
      <c r="C49" s="9"/>
      <c r="D49" s="9"/>
      <c r="E49" s="10" t="s">
        <v>875</v>
      </c>
      <c r="F49" s="11"/>
      <c r="G49" s="64" t="s">
        <v>876</v>
      </c>
      <c r="H49" s="59"/>
      <c r="I49" s="59" t="s">
        <v>186</v>
      </c>
      <c r="J49" s="59"/>
      <c r="K49" s="59" t="s">
        <v>187</v>
      </c>
      <c r="L49" s="48"/>
      <c r="M49" s="59" t="s">
        <v>188</v>
      </c>
      <c r="N49" s="59"/>
      <c r="O49" s="60"/>
    </row>
    <row r="50" spans="1:15" s="15" customFormat="1" ht="14.1" customHeight="1">
      <c r="A50" s="16" t="s">
        <v>877</v>
      </c>
      <c r="C50" s="196" t="s">
        <v>878</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193</v>
      </c>
      <c r="E54" s="17"/>
      <c r="G54" s="18"/>
      <c r="I54" s="49"/>
      <c r="J54" s="49"/>
      <c r="K54" s="49"/>
      <c r="L54" s="50"/>
      <c r="M54" s="57" t="s">
        <v>194</v>
      </c>
      <c r="N54" s="57"/>
      <c r="O54" s="205">
        <f>SUM(O36+O43+O52,K51:K52)</f>
        <v>1564181.83</v>
      </c>
    </row>
    <row r="55" spans="1:15" s="15" customFormat="1" ht="12.95" customHeight="1">
      <c r="A55" s="138"/>
      <c r="E55" s="17"/>
      <c r="G55" s="18"/>
      <c r="I55" s="49"/>
      <c r="J55" s="49"/>
      <c r="K55" s="49"/>
      <c r="L55" s="50"/>
      <c r="M55" s="323" t="s">
        <v>195</v>
      </c>
      <c r="N55" s="57"/>
      <c r="O55" s="438">
        <f>SUM(I50:I52)</f>
        <v>120000</v>
      </c>
    </row>
    <row r="56" spans="1:15" s="15" customFormat="1" ht="12.95" customHeight="1">
      <c r="E56" s="17"/>
      <c r="G56" s="18"/>
      <c r="I56" s="49"/>
      <c r="J56" s="49"/>
      <c r="K56" s="49"/>
      <c r="L56" s="50"/>
      <c r="M56" s="57" t="s">
        <v>196</v>
      </c>
      <c r="N56" s="57"/>
      <c r="O56" s="205">
        <f>O54-O55</f>
        <v>1444181.83</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C33:I33"/>
    <mergeCell ref="E1:F1"/>
    <mergeCell ref="D2:L2"/>
    <mergeCell ref="E3:K3"/>
    <mergeCell ref="E4:K4"/>
    <mergeCell ref="G5:J5"/>
    <mergeCell ref="E21:J21"/>
    <mergeCell ref="E22:J22"/>
    <mergeCell ref="E26:J26"/>
    <mergeCell ref="H27:J27"/>
    <mergeCell ref="E29:J29"/>
    <mergeCell ref="C31:I31"/>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000"/>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608" t="s">
        <v>136</v>
      </c>
      <c r="F1" s="1608"/>
      <c r="G1" s="309">
        <v>42677</v>
      </c>
      <c r="H1" s="308"/>
      <c r="I1" s="308"/>
      <c r="M1" s="192" t="s">
        <v>843</v>
      </c>
      <c r="O1" s="191">
        <v>27300</v>
      </c>
    </row>
    <row r="2" spans="1:16" ht="15.05">
      <c r="B2" s="422">
        <f>'AS Gold changes'!L3405</f>
        <v>0</v>
      </c>
      <c r="D2" s="2152" t="s">
        <v>842</v>
      </c>
      <c r="E2" s="2152"/>
      <c r="F2" s="2152"/>
      <c r="G2" s="2152"/>
      <c r="H2" s="2152"/>
      <c r="I2" s="2152"/>
      <c r="J2" s="2152"/>
      <c r="K2" s="2152"/>
      <c r="L2" s="2152"/>
      <c r="M2" s="192" t="s">
        <v>845</v>
      </c>
      <c r="O2" s="191">
        <v>28152</v>
      </c>
    </row>
    <row r="3" spans="1:16" ht="20.3">
      <c r="E3" s="1987" t="s">
        <v>846</v>
      </c>
      <c r="F3" s="1987"/>
      <c r="G3" s="1987"/>
      <c r="H3" s="1987"/>
      <c r="I3" s="1987"/>
      <c r="J3" s="1987"/>
      <c r="K3" s="1987"/>
      <c r="L3" s="423"/>
      <c r="M3" s="192" t="s">
        <v>847</v>
      </c>
      <c r="N3" s="69"/>
      <c r="O3" s="311">
        <v>75000</v>
      </c>
    </row>
    <row r="4" spans="1:16" ht="17.7">
      <c r="E4" s="1610" t="s">
        <v>848</v>
      </c>
      <c r="F4" s="1610"/>
      <c r="G4" s="1610"/>
      <c r="H4" s="1610"/>
      <c r="I4" s="1610"/>
      <c r="J4" s="1610"/>
      <c r="K4" s="1610"/>
      <c r="M4" s="372">
        <v>19109</v>
      </c>
      <c r="N4" s="335" t="s">
        <v>58</v>
      </c>
      <c r="O4" s="335">
        <v>64</v>
      </c>
      <c r="P4" s="306"/>
    </row>
    <row r="5" spans="1:16" ht="17.7">
      <c r="G5" s="2146" t="s">
        <v>849</v>
      </c>
      <c r="H5" s="2146"/>
      <c r="I5" s="2146"/>
      <c r="J5" s="2146"/>
      <c r="M5" s="373">
        <v>20124</v>
      </c>
      <c r="N5" s="336" t="s">
        <v>58</v>
      </c>
      <c r="O5" s="336">
        <v>61</v>
      </c>
      <c r="P5" s="306"/>
    </row>
    <row r="6" spans="1:16" s="15" customFormat="1" ht="14.1" customHeight="1">
      <c r="A6" s="7" t="s">
        <v>850</v>
      </c>
      <c r="B6" s="8"/>
      <c r="C6" s="9"/>
      <c r="D6" s="9"/>
      <c r="E6" s="10" t="s">
        <v>139</v>
      </c>
      <c r="F6" s="11"/>
      <c r="G6" s="12" t="s">
        <v>140</v>
      </c>
      <c r="H6" s="11"/>
      <c r="I6" s="13" t="s">
        <v>141</v>
      </c>
      <c r="J6" s="13"/>
      <c r="K6" s="13" t="s">
        <v>142</v>
      </c>
      <c r="L6" s="48"/>
      <c r="M6" s="11" t="s">
        <v>143</v>
      </c>
      <c r="N6" s="11"/>
      <c r="O6" s="14" t="s">
        <v>144</v>
      </c>
    </row>
    <row r="7" spans="1:16" s="15" customFormat="1" ht="14.1" customHeight="1">
      <c r="A7" s="193" t="s">
        <v>145</v>
      </c>
      <c r="C7" s="15" t="s">
        <v>851</v>
      </c>
      <c r="E7" s="194"/>
      <c r="G7" s="18"/>
      <c r="I7" s="49"/>
      <c r="J7" s="49"/>
      <c r="K7" s="195">
        <v>32000</v>
      </c>
      <c r="L7" s="50"/>
      <c r="M7" s="49"/>
      <c r="N7" s="49"/>
      <c r="O7" s="49"/>
    </row>
    <row r="8" spans="1:16" s="15" customFormat="1" ht="14.1" customHeight="1">
      <c r="A8" s="193" t="s">
        <v>852</v>
      </c>
      <c r="C8" s="196" t="s">
        <v>853</v>
      </c>
      <c r="E8" s="194"/>
      <c r="G8" s="18"/>
      <c r="I8" s="49"/>
      <c r="J8" s="49"/>
      <c r="K8" s="195">
        <v>1000</v>
      </c>
      <c r="L8" s="50"/>
      <c r="M8" s="49"/>
      <c r="N8" s="49"/>
      <c r="O8" s="49"/>
    </row>
    <row r="9" spans="1:16" s="15" customFormat="1" ht="14.1" customHeight="1">
      <c r="A9" s="193" t="s">
        <v>854</v>
      </c>
      <c r="C9" s="196" t="s">
        <v>853</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180</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855</v>
      </c>
      <c r="B19" s="11"/>
      <c r="C19" s="9"/>
      <c r="D19" s="11"/>
      <c r="E19" s="10" t="s">
        <v>139</v>
      </c>
      <c r="F19" s="11"/>
      <c r="G19" s="12" t="s">
        <v>140</v>
      </c>
      <c r="H19" s="11"/>
      <c r="I19" s="13" t="s">
        <v>141</v>
      </c>
      <c r="J19" s="13"/>
      <c r="K19" s="13" t="s">
        <v>142</v>
      </c>
      <c r="L19" s="48"/>
      <c r="M19" s="11" t="s">
        <v>143</v>
      </c>
      <c r="N19" s="11"/>
      <c r="O19" s="14" t="s">
        <v>144</v>
      </c>
    </row>
    <row r="20" spans="1:15" s="15" customFormat="1" ht="14.1" customHeight="1">
      <c r="A20" s="16" t="s">
        <v>852</v>
      </c>
      <c r="B20" s="197"/>
      <c r="C20" s="429" t="s">
        <v>856</v>
      </c>
      <c r="D20" s="198" t="s">
        <v>158</v>
      </c>
      <c r="E20" s="196"/>
      <c r="G20" s="200"/>
      <c r="I20" s="201"/>
      <c r="J20" s="49"/>
      <c r="K20" s="494">
        <v>21820.68</v>
      </c>
      <c r="L20" s="50"/>
      <c r="M20" s="49"/>
      <c r="N20" s="49"/>
      <c r="O20" s="49"/>
    </row>
    <row r="21" spans="1:15" s="15" customFormat="1" ht="14.1" customHeight="1">
      <c r="A21" s="52" t="s">
        <v>852</v>
      </c>
      <c r="B21" s="203"/>
      <c r="C21" s="429" t="s">
        <v>857</v>
      </c>
      <c r="D21" s="198" t="s">
        <v>262</v>
      </c>
      <c r="E21" s="2147" t="s">
        <v>858</v>
      </c>
      <c r="F21" s="2147"/>
      <c r="G21" s="2147"/>
      <c r="H21" s="2147"/>
      <c r="I21" s="2147"/>
      <c r="J21" s="2147"/>
      <c r="K21" s="495">
        <v>523547.49</v>
      </c>
      <c r="L21" s="473" t="s">
        <v>859</v>
      </c>
      <c r="M21" s="474">
        <v>122093</v>
      </c>
      <c r="N21" s="49"/>
      <c r="O21" s="443"/>
    </row>
    <row r="22" spans="1:15" s="15" customFormat="1" ht="14.1" customHeight="1">
      <c r="A22" s="52" t="s">
        <v>852</v>
      </c>
      <c r="B22" s="203"/>
      <c r="C22" s="429" t="s">
        <v>860</v>
      </c>
      <c r="D22" s="198" t="s">
        <v>262</v>
      </c>
      <c r="E22" s="2147" t="s">
        <v>861</v>
      </c>
      <c r="F22" s="2147"/>
      <c r="G22" s="2147"/>
      <c r="H22" s="2147"/>
      <c r="I22" s="2147"/>
      <c r="J22" s="2147"/>
      <c r="K22" s="205">
        <v>0</v>
      </c>
      <c r="L22" s="473" t="s">
        <v>859</v>
      </c>
      <c r="M22" s="474">
        <v>68032</v>
      </c>
      <c r="N22" s="49"/>
      <c r="O22" s="205"/>
    </row>
    <row r="23" spans="1:15" s="15" customFormat="1" ht="14.1" customHeight="1">
      <c r="A23" s="52" t="s">
        <v>852</v>
      </c>
      <c r="B23" s="203"/>
      <c r="C23" s="196" t="s">
        <v>862</v>
      </c>
      <c r="D23" s="198" t="s">
        <v>262</v>
      </c>
      <c r="E23" s="194" t="s">
        <v>863</v>
      </c>
      <c r="G23" s="475" t="s">
        <v>864</v>
      </c>
      <c r="I23" s="201"/>
      <c r="J23" s="49"/>
      <c r="K23" s="201">
        <v>0</v>
      </c>
      <c r="L23" s="473" t="s">
        <v>859</v>
      </c>
      <c r="M23" s="474">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854</v>
      </c>
      <c r="B26" s="203"/>
      <c r="C26" s="429" t="s">
        <v>865</v>
      </c>
      <c r="D26" s="198" t="s">
        <v>158</v>
      </c>
      <c r="E26" s="2148" t="s">
        <v>866</v>
      </c>
      <c r="F26" s="2148"/>
      <c r="G26" s="2148"/>
      <c r="H26" s="2148"/>
      <c r="I26" s="2148"/>
      <c r="J26" s="2148"/>
      <c r="K26" s="495">
        <v>297357</v>
      </c>
      <c r="L26" s="473" t="s">
        <v>859</v>
      </c>
      <c r="M26" s="474">
        <v>151173</v>
      </c>
      <c r="N26" s="49"/>
      <c r="O26" s="49"/>
    </row>
    <row r="27" spans="1:15" s="15" customFormat="1" ht="14.1" customHeight="1">
      <c r="A27" s="52" t="s">
        <v>854</v>
      </c>
      <c r="B27" s="203"/>
      <c r="C27" s="196" t="s">
        <v>867</v>
      </c>
      <c r="D27" s="198" t="s">
        <v>262</v>
      </c>
      <c r="E27" s="194" t="s">
        <v>868</v>
      </c>
      <c r="G27" s="18">
        <v>30359</v>
      </c>
      <c r="H27" s="2149" t="s">
        <v>864</v>
      </c>
      <c r="I27" s="2149"/>
      <c r="J27" s="2149"/>
      <c r="K27" s="201">
        <v>0</v>
      </c>
      <c r="L27" s="473" t="s">
        <v>859</v>
      </c>
      <c r="M27" s="474">
        <v>9875</v>
      </c>
      <c r="N27" s="49"/>
      <c r="O27" s="49"/>
    </row>
    <row r="28" spans="1:15" s="15" customFormat="1" ht="14.1" customHeight="1">
      <c r="A28" s="52" t="s">
        <v>854</v>
      </c>
      <c r="B28" s="203"/>
      <c r="C28" s="196" t="s">
        <v>862</v>
      </c>
      <c r="D28" s="198" t="s">
        <v>262</v>
      </c>
      <c r="E28" s="194" t="s">
        <v>869</v>
      </c>
      <c r="G28" s="18">
        <v>29978</v>
      </c>
      <c r="I28" s="477" t="s">
        <v>864</v>
      </c>
      <c r="J28" s="49"/>
      <c r="K28" s="201">
        <v>0</v>
      </c>
      <c r="L28" s="473" t="s">
        <v>859</v>
      </c>
      <c r="M28" s="474">
        <v>16913</v>
      </c>
      <c r="N28" s="49"/>
      <c r="O28" s="49"/>
    </row>
    <row r="29" spans="1:15" s="15" customFormat="1" ht="14.1" customHeight="1">
      <c r="A29" s="52" t="s">
        <v>854</v>
      </c>
      <c r="B29" s="203"/>
      <c r="C29" s="196" t="s">
        <v>860</v>
      </c>
      <c r="D29" s="198" t="s">
        <v>262</v>
      </c>
      <c r="E29" s="2150" t="s">
        <v>870</v>
      </c>
      <c r="F29" s="2150"/>
      <c r="G29" s="2150"/>
      <c r="H29" s="2150"/>
      <c r="I29" s="2150"/>
      <c r="J29" s="2150"/>
      <c r="K29" s="201">
        <v>0</v>
      </c>
      <c r="L29" s="473" t="s">
        <v>859</v>
      </c>
      <c r="M29" s="476">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51" t="s">
        <v>871</v>
      </c>
      <c r="D31" s="1651"/>
      <c r="E31" s="1651"/>
      <c r="F31" s="1651"/>
      <c r="G31" s="1651"/>
      <c r="H31" s="1651"/>
      <c r="I31" s="1651"/>
      <c r="J31" s="49"/>
      <c r="K31" s="202"/>
      <c r="L31" s="50"/>
      <c r="M31" s="493">
        <f>SUM(K20:K31)</f>
        <v>842725.17</v>
      </c>
      <c r="N31" s="49"/>
      <c r="O31" s="49"/>
    </row>
    <row r="32" spans="1:15" s="15" customFormat="1" ht="14.1" customHeight="1">
      <c r="A32" s="16"/>
      <c r="E32" s="17"/>
      <c r="G32" s="18"/>
      <c r="I32" s="49"/>
      <c r="J32" s="49"/>
      <c r="K32" s="202" t="s">
        <v>180</v>
      </c>
      <c r="L32" s="50"/>
      <c r="M32" s="205"/>
      <c r="N32" s="49"/>
      <c r="O32" s="195"/>
    </row>
    <row r="33" spans="1:17" ht="17.7">
      <c r="C33" s="2151" t="s">
        <v>872</v>
      </c>
      <c r="D33" s="2151"/>
      <c r="E33" s="2151"/>
      <c r="F33" s="2151"/>
      <c r="G33" s="2151"/>
      <c r="H33" s="2151"/>
      <c r="I33" s="2151"/>
      <c r="M33" s="496">
        <f>SUM(M20:M29)</f>
        <v>400000</v>
      </c>
    </row>
    <row r="34" spans="1:17" s="15" customFormat="1" ht="14.1" customHeight="1">
      <c r="A34" s="16"/>
      <c r="B34" s="16"/>
      <c r="E34" s="17"/>
      <c r="G34" s="18"/>
      <c r="I34" s="145"/>
      <c r="J34" s="146"/>
      <c r="K34" s="145"/>
      <c r="L34" s="50"/>
      <c r="O34" s="205">
        <f>SUM(K20:K30,M33)</f>
        <v>1242725.17</v>
      </c>
    </row>
    <row r="35" spans="1:17" s="15" customFormat="1" ht="14.1" customHeight="1">
      <c r="A35" s="7" t="s">
        <v>166</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167</v>
      </c>
      <c r="B37" s="9"/>
      <c r="C37" s="9"/>
      <c r="D37" s="9"/>
      <c r="E37" s="10" t="s">
        <v>168</v>
      </c>
      <c r="F37" s="11"/>
      <c r="G37" s="12" t="s">
        <v>169</v>
      </c>
      <c r="H37" s="11"/>
      <c r="I37" s="11" t="s">
        <v>170</v>
      </c>
      <c r="J37" s="11"/>
      <c r="K37" s="11" t="s">
        <v>171</v>
      </c>
      <c r="L37" s="48"/>
      <c r="M37" s="11" t="s">
        <v>172</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854</v>
      </c>
      <c r="C39" s="196" t="s">
        <v>867</v>
      </c>
      <c r="E39" s="17" t="s">
        <v>873</v>
      </c>
      <c r="G39" s="18"/>
      <c r="I39" s="49"/>
      <c r="J39" s="49"/>
      <c r="K39" s="143">
        <v>51323.73</v>
      </c>
      <c r="L39" s="56"/>
      <c r="M39" s="206">
        <v>97893</v>
      </c>
      <c r="N39" s="57"/>
      <c r="O39" s="58"/>
    </row>
    <row r="40" spans="1:17" s="15" customFormat="1" ht="14.1" customHeight="1">
      <c r="A40" s="16" t="s">
        <v>854</v>
      </c>
      <c r="C40" s="196" t="s">
        <v>867</v>
      </c>
      <c r="E40" s="17" t="s">
        <v>874</v>
      </c>
      <c r="G40" s="18"/>
      <c r="I40" s="49"/>
      <c r="J40" s="49"/>
      <c r="K40" s="143">
        <v>17535.72</v>
      </c>
      <c r="L40" s="56"/>
      <c r="M40" s="206">
        <v>81073</v>
      </c>
      <c r="N40" s="57"/>
      <c r="O40" s="58"/>
    </row>
    <row r="41" spans="1:17" s="15" customFormat="1" ht="14.1" customHeight="1">
      <c r="A41" s="16" t="s">
        <v>852</v>
      </c>
      <c r="C41" s="196" t="s">
        <v>867</v>
      </c>
      <c r="E41" s="17" t="s">
        <v>874</v>
      </c>
      <c r="G41" s="18"/>
      <c r="I41" s="49"/>
      <c r="J41" s="49"/>
      <c r="K41" s="143">
        <v>48829.91</v>
      </c>
      <c r="L41" s="56"/>
      <c r="M41" s="206">
        <v>150000</v>
      </c>
      <c r="N41" s="57"/>
      <c r="O41" s="58"/>
    </row>
    <row r="42" spans="1:17" s="15" customFormat="1" ht="13.6" customHeight="1">
      <c r="A42" s="16" t="s">
        <v>852</v>
      </c>
      <c r="C42" s="196" t="s">
        <v>867</v>
      </c>
      <c r="E42" s="17" t="s">
        <v>873</v>
      </c>
      <c r="G42" s="18"/>
      <c r="I42" s="49"/>
      <c r="J42" s="49"/>
      <c r="K42" s="143">
        <v>33767.31</v>
      </c>
      <c r="L42" s="56"/>
      <c r="M42" s="206">
        <v>60526</v>
      </c>
      <c r="N42" s="57"/>
      <c r="O42" s="58"/>
    </row>
    <row r="43" spans="1:17" s="15" customFormat="1" ht="13.6" customHeight="1">
      <c r="A43" s="16"/>
      <c r="E43" s="153"/>
      <c r="G43" s="18"/>
      <c r="I43" s="49"/>
      <c r="J43" s="49"/>
      <c r="K43" s="151" t="s">
        <v>174</v>
      </c>
      <c r="L43" s="56"/>
      <c r="M43" s="147"/>
      <c r="N43" s="57"/>
      <c r="O43" s="58">
        <f>SUM(K39:K42)</f>
        <v>151456.67000000001</v>
      </c>
    </row>
    <row r="44" spans="1:17" s="2" customFormat="1" ht="13.6" customHeight="1">
      <c r="A44" s="24" t="s">
        <v>175</v>
      </c>
      <c r="B44" s="29"/>
      <c r="C44" s="30"/>
      <c r="D44" s="29"/>
      <c r="E44" s="13" t="s">
        <v>176</v>
      </c>
      <c r="F44" s="25"/>
      <c r="G44" s="25" t="s">
        <v>169</v>
      </c>
      <c r="H44" s="26"/>
      <c r="I44" s="25" t="s">
        <v>170</v>
      </c>
      <c r="J44" s="11"/>
      <c r="K44" s="26" t="s">
        <v>177</v>
      </c>
      <c r="L44" s="25"/>
      <c r="M44" s="13" t="s">
        <v>178</v>
      </c>
      <c r="N44" s="11"/>
      <c r="O44" s="27" t="s">
        <v>179</v>
      </c>
      <c r="P44" s="28"/>
      <c r="Q44" s="28"/>
    </row>
    <row r="45" spans="1:17" ht="14.1" customHeight="1">
      <c r="A45" s="16" t="s">
        <v>852</v>
      </c>
      <c r="B45" s="31"/>
      <c r="C45" s="196"/>
      <c r="D45" s="2"/>
      <c r="E45" s="32"/>
      <c r="F45" s="2"/>
      <c r="G45" s="5"/>
      <c r="H45" s="2"/>
      <c r="I45" s="369" t="s">
        <v>180</v>
      </c>
      <c r="J45" s="61"/>
      <c r="K45" s="370" t="s">
        <v>180</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854</v>
      </c>
      <c r="B47" s="31"/>
      <c r="C47" s="196"/>
      <c r="D47" s="2"/>
      <c r="E47" s="32"/>
      <c r="F47" s="2"/>
      <c r="G47" s="5"/>
      <c r="H47" s="2"/>
      <c r="I47" s="369" t="s">
        <v>180</v>
      </c>
      <c r="J47" s="61"/>
      <c r="K47" s="62" t="s">
        <v>180</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181</v>
      </c>
      <c r="B49" s="8"/>
      <c r="C49" s="9"/>
      <c r="D49" s="9"/>
      <c r="E49" s="10" t="s">
        <v>875</v>
      </c>
      <c r="F49" s="11"/>
      <c r="G49" s="64" t="s">
        <v>876</v>
      </c>
      <c r="H49" s="59"/>
      <c r="I49" s="59" t="s">
        <v>186</v>
      </c>
      <c r="J49" s="59"/>
      <c r="K49" s="59" t="s">
        <v>187</v>
      </c>
      <c r="L49" s="48"/>
      <c r="M49" s="59" t="s">
        <v>188</v>
      </c>
      <c r="N49" s="59"/>
      <c r="O49" s="60"/>
    </row>
    <row r="50" spans="1:15" s="15" customFormat="1" ht="14.1" customHeight="1">
      <c r="A50" s="16" t="s">
        <v>877</v>
      </c>
      <c r="C50" s="196" t="s">
        <v>878</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193</v>
      </c>
      <c r="E54" s="17"/>
      <c r="G54" s="18"/>
      <c r="I54" s="49"/>
      <c r="J54" s="49"/>
      <c r="K54" s="49"/>
      <c r="L54" s="50"/>
      <c r="M54" s="57" t="s">
        <v>194</v>
      </c>
      <c r="N54" s="57"/>
      <c r="O54" s="205">
        <f>SUM(O36+O43+O52,K51:K52)</f>
        <v>1564181.8399999999</v>
      </c>
    </row>
    <row r="55" spans="1:15" s="15" customFormat="1" ht="12.95" customHeight="1">
      <c r="A55" s="138"/>
      <c r="E55" s="17"/>
      <c r="G55" s="18"/>
      <c r="I55" s="49"/>
      <c r="J55" s="49"/>
      <c r="K55" s="49"/>
      <c r="L55" s="50"/>
      <c r="M55" s="323" t="s">
        <v>195</v>
      </c>
      <c r="N55" s="57"/>
      <c r="O55" s="438">
        <f>SUM(I50:I52)</f>
        <v>120000</v>
      </c>
    </row>
    <row r="56" spans="1:15" s="15" customFormat="1" ht="12.95" customHeight="1">
      <c r="E56" s="17"/>
      <c r="G56" s="18"/>
      <c r="I56" s="49"/>
      <c r="J56" s="49"/>
      <c r="K56" s="49"/>
      <c r="L56" s="50"/>
      <c r="M56" s="57" t="s">
        <v>196</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E26:J26"/>
    <mergeCell ref="E29:J29"/>
    <mergeCell ref="C33:I33"/>
    <mergeCell ref="H27:J27"/>
    <mergeCell ref="E1:F1"/>
    <mergeCell ref="E3:K3"/>
    <mergeCell ref="E4:K4"/>
    <mergeCell ref="G5:J5"/>
    <mergeCell ref="E21:J21"/>
    <mergeCell ref="E22:J22"/>
    <mergeCell ref="C31:I31"/>
    <mergeCell ref="D2:L2"/>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14999847407452621"/>
  </sheetPr>
  <dimension ref="A1"/>
  <sheetViews>
    <sheetView showGridLines="0" workbookViewId="0"/>
  </sheetViews>
  <sheetFormatPr defaultColWidth="9.125" defaultRowHeight="12.45"/>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14999847407452621"/>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608" t="s">
        <v>136</v>
      </c>
      <c r="F1" s="1608"/>
      <c r="G1" s="309">
        <v>42677</v>
      </c>
      <c r="H1" s="308"/>
      <c r="I1" s="308"/>
      <c r="M1" s="192" t="s">
        <v>843</v>
      </c>
      <c r="O1" s="191">
        <v>27300</v>
      </c>
    </row>
    <row r="2" spans="1:16" ht="15.05">
      <c r="B2" s="422">
        <f>'AS Platnium changes'!L3405</f>
        <v>0</v>
      </c>
      <c r="D2" s="2154" t="s">
        <v>879</v>
      </c>
      <c r="E2" s="2154"/>
      <c r="F2" s="2154"/>
      <c r="G2" s="2154"/>
      <c r="H2" s="2154"/>
      <c r="I2" s="2154"/>
      <c r="J2" s="2154"/>
      <c r="K2" s="2154"/>
      <c r="L2" s="2154"/>
      <c r="M2" s="192" t="s">
        <v>845</v>
      </c>
      <c r="O2" s="191">
        <v>28152</v>
      </c>
    </row>
    <row r="3" spans="1:16" ht="20.3">
      <c r="E3" s="1987" t="s">
        <v>846</v>
      </c>
      <c r="F3" s="1987"/>
      <c r="G3" s="1987"/>
      <c r="H3" s="1987"/>
      <c r="I3" s="1987"/>
      <c r="J3" s="1987"/>
      <c r="K3" s="1987"/>
      <c r="L3" s="423"/>
      <c r="M3" s="192" t="s">
        <v>847</v>
      </c>
      <c r="N3" s="69"/>
      <c r="O3" s="311">
        <v>75000</v>
      </c>
    </row>
    <row r="4" spans="1:16" ht="17.7">
      <c r="E4" s="1610" t="s">
        <v>848</v>
      </c>
      <c r="F4" s="1610"/>
      <c r="G4" s="1610"/>
      <c r="H4" s="1610"/>
      <c r="I4" s="1610"/>
      <c r="J4" s="1610"/>
      <c r="K4" s="1610"/>
      <c r="M4" s="372">
        <v>19109</v>
      </c>
      <c r="N4" s="335" t="s">
        <v>58</v>
      </c>
      <c r="O4" s="335">
        <v>64</v>
      </c>
      <c r="P4" s="306"/>
    </row>
    <row r="5" spans="1:16" ht="17.7">
      <c r="G5" s="2146" t="s">
        <v>849</v>
      </c>
      <c r="H5" s="2146"/>
      <c r="I5" s="2146"/>
      <c r="J5" s="2146"/>
      <c r="M5" s="373">
        <v>20124</v>
      </c>
      <c r="N5" s="336" t="s">
        <v>58</v>
      </c>
      <c r="O5" s="336">
        <v>61</v>
      </c>
      <c r="P5" s="306"/>
    </row>
    <row r="6" spans="1:16" s="15" customFormat="1" ht="14.1" customHeight="1">
      <c r="A6" s="7" t="s">
        <v>850</v>
      </c>
      <c r="B6" s="8"/>
      <c r="C6" s="9"/>
      <c r="D6" s="9"/>
      <c r="E6" s="10" t="s">
        <v>139</v>
      </c>
      <c r="F6" s="11"/>
      <c r="G6" s="12" t="s">
        <v>140</v>
      </c>
      <c r="H6" s="11"/>
      <c r="I6" s="13" t="s">
        <v>141</v>
      </c>
      <c r="J6" s="13"/>
      <c r="K6" s="13" t="s">
        <v>142</v>
      </c>
      <c r="L6" s="48"/>
      <c r="M6" s="11" t="s">
        <v>143</v>
      </c>
      <c r="N6" s="11"/>
      <c r="O6" s="14" t="s">
        <v>144</v>
      </c>
    </row>
    <row r="7" spans="1:16" s="15" customFormat="1" ht="14.1" customHeight="1">
      <c r="A7" s="193" t="s">
        <v>145</v>
      </c>
      <c r="C7" s="15" t="s">
        <v>851</v>
      </c>
      <c r="E7" s="194"/>
      <c r="G7" s="18"/>
      <c r="I7" s="49"/>
      <c r="J7" s="49"/>
      <c r="K7" s="195">
        <v>32000</v>
      </c>
      <c r="L7" s="50"/>
      <c r="M7" s="49"/>
      <c r="N7" s="49"/>
      <c r="O7" s="49"/>
    </row>
    <row r="8" spans="1:16" s="15" customFormat="1" ht="14.1" customHeight="1">
      <c r="A8" s="193" t="s">
        <v>852</v>
      </c>
      <c r="C8" s="196" t="s">
        <v>853</v>
      </c>
      <c r="E8" s="194"/>
      <c r="G8" s="18"/>
      <c r="I8" s="49"/>
      <c r="J8" s="49"/>
      <c r="K8" s="195">
        <v>1000</v>
      </c>
      <c r="L8" s="50"/>
      <c r="M8" s="49"/>
      <c r="N8" s="49"/>
      <c r="O8" s="49"/>
    </row>
    <row r="9" spans="1:16" s="15" customFormat="1" ht="14.1" customHeight="1">
      <c r="A9" s="193" t="s">
        <v>854</v>
      </c>
      <c r="C9" s="196" t="s">
        <v>853</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180</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855</v>
      </c>
      <c r="B19" s="11"/>
      <c r="C19" s="9"/>
      <c r="D19" s="11"/>
      <c r="E19" s="10" t="s">
        <v>139</v>
      </c>
      <c r="F19" s="11"/>
      <c r="G19" s="12" t="s">
        <v>140</v>
      </c>
      <c r="H19" s="11"/>
      <c r="I19" s="13" t="s">
        <v>141</v>
      </c>
      <c r="J19" s="13"/>
      <c r="K19" s="13" t="s">
        <v>142</v>
      </c>
      <c r="L19" s="48"/>
      <c r="M19" s="11" t="s">
        <v>143</v>
      </c>
      <c r="N19" s="11"/>
      <c r="O19" s="14" t="s">
        <v>144</v>
      </c>
    </row>
    <row r="20" spans="1:15" s="15" customFormat="1" ht="14.1" customHeight="1">
      <c r="A20" s="16" t="s">
        <v>852</v>
      </c>
      <c r="B20" s="197"/>
      <c r="C20" s="429" t="s">
        <v>856</v>
      </c>
      <c r="D20" s="198" t="s">
        <v>158</v>
      </c>
      <c r="E20" s="196"/>
      <c r="G20" s="200"/>
      <c r="I20" s="201"/>
      <c r="J20" s="49"/>
      <c r="K20" s="494">
        <v>21820.68</v>
      </c>
      <c r="L20" s="50"/>
      <c r="M20" s="49"/>
      <c r="N20" s="49"/>
      <c r="O20" s="49"/>
    </row>
    <row r="21" spans="1:15" s="15" customFormat="1" ht="14.1" customHeight="1">
      <c r="A21" s="52" t="s">
        <v>852</v>
      </c>
      <c r="B21" s="203"/>
      <c r="C21" s="429" t="s">
        <v>857</v>
      </c>
      <c r="D21" s="198" t="s">
        <v>262</v>
      </c>
      <c r="E21" s="2147" t="s">
        <v>858</v>
      </c>
      <c r="F21" s="2147"/>
      <c r="G21" s="2147"/>
      <c r="H21" s="2147"/>
      <c r="I21" s="2147"/>
      <c r="J21" s="2147"/>
      <c r="K21" s="494">
        <v>423547.49</v>
      </c>
      <c r="L21" s="484" t="s">
        <v>859</v>
      </c>
      <c r="M21" s="483">
        <v>222093</v>
      </c>
      <c r="N21" s="49"/>
      <c r="O21" s="443"/>
    </row>
    <row r="22" spans="1:15" s="15" customFormat="1" ht="14.1" customHeight="1">
      <c r="A22" s="52" t="s">
        <v>852</v>
      </c>
      <c r="B22" s="203"/>
      <c r="C22" s="429" t="s">
        <v>860</v>
      </c>
      <c r="D22" s="198" t="s">
        <v>262</v>
      </c>
      <c r="E22" s="2147" t="s">
        <v>861</v>
      </c>
      <c r="F22" s="2147"/>
      <c r="G22" s="2147"/>
      <c r="H22" s="2147"/>
      <c r="I22" s="2147"/>
      <c r="J22" s="2147"/>
      <c r="K22" s="205">
        <v>0</v>
      </c>
      <c r="L22" s="484" t="s">
        <v>859</v>
      </c>
      <c r="M22" s="483">
        <v>68032</v>
      </c>
      <c r="N22" s="49"/>
      <c r="O22" s="205"/>
    </row>
    <row r="23" spans="1:15" s="15" customFormat="1" ht="14.1" customHeight="1">
      <c r="A23" s="52" t="s">
        <v>852</v>
      </c>
      <c r="B23" s="203"/>
      <c r="C23" s="196" t="s">
        <v>862</v>
      </c>
      <c r="D23" s="198" t="s">
        <v>262</v>
      </c>
      <c r="E23" s="194" t="s">
        <v>863</v>
      </c>
      <c r="G23" s="475" t="s">
        <v>864</v>
      </c>
      <c r="I23" s="201"/>
      <c r="J23" s="49"/>
      <c r="K23" s="201">
        <v>0</v>
      </c>
      <c r="L23" s="484" t="s">
        <v>859</v>
      </c>
      <c r="M23" s="483">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854</v>
      </c>
      <c r="B26" s="203"/>
      <c r="C26" s="429" t="s">
        <v>865</v>
      </c>
      <c r="D26" s="198" t="s">
        <v>158</v>
      </c>
      <c r="E26" s="2148" t="s">
        <v>866</v>
      </c>
      <c r="F26" s="2148"/>
      <c r="G26" s="2148"/>
      <c r="H26" s="2148"/>
      <c r="I26" s="2148"/>
      <c r="J26" s="2148"/>
      <c r="K26" s="495">
        <v>197357</v>
      </c>
      <c r="L26" s="484" t="s">
        <v>859</v>
      </c>
      <c r="M26" s="483">
        <v>251173</v>
      </c>
      <c r="N26" s="49"/>
      <c r="O26" s="49"/>
    </row>
    <row r="27" spans="1:15" s="15" customFormat="1" ht="14.1" customHeight="1">
      <c r="A27" s="52" t="s">
        <v>854</v>
      </c>
      <c r="B27" s="203"/>
      <c r="C27" s="196" t="s">
        <v>867</v>
      </c>
      <c r="D27" s="198" t="s">
        <v>262</v>
      </c>
      <c r="E27" s="194" t="s">
        <v>868</v>
      </c>
      <c r="G27" s="18">
        <v>30359</v>
      </c>
      <c r="H27" s="2149" t="s">
        <v>864</v>
      </c>
      <c r="I27" s="2149"/>
      <c r="J27" s="2149"/>
      <c r="K27" s="201">
        <v>0</v>
      </c>
      <c r="L27" s="484" t="s">
        <v>859</v>
      </c>
      <c r="M27" s="483">
        <v>9875</v>
      </c>
      <c r="N27" s="49"/>
      <c r="O27" s="49"/>
    </row>
    <row r="28" spans="1:15" s="15" customFormat="1" ht="14.1" customHeight="1">
      <c r="A28" s="52" t="s">
        <v>854</v>
      </c>
      <c r="B28" s="203"/>
      <c r="C28" s="196" t="s">
        <v>862</v>
      </c>
      <c r="D28" s="198" t="s">
        <v>262</v>
      </c>
      <c r="E28" s="194" t="s">
        <v>869</v>
      </c>
      <c r="G28" s="18">
        <v>29978</v>
      </c>
      <c r="I28" s="477" t="s">
        <v>864</v>
      </c>
      <c r="J28" s="49"/>
      <c r="K28" s="201">
        <v>0</v>
      </c>
      <c r="L28" s="484" t="s">
        <v>859</v>
      </c>
      <c r="M28" s="483">
        <v>16913</v>
      </c>
      <c r="N28" s="49"/>
      <c r="O28" s="49"/>
    </row>
    <row r="29" spans="1:15" s="15" customFormat="1" ht="14.1" customHeight="1">
      <c r="A29" s="52" t="s">
        <v>854</v>
      </c>
      <c r="B29" s="203"/>
      <c r="C29" s="196" t="s">
        <v>860</v>
      </c>
      <c r="D29" s="198" t="s">
        <v>262</v>
      </c>
      <c r="E29" s="2150" t="s">
        <v>870</v>
      </c>
      <c r="F29" s="2150"/>
      <c r="G29" s="2150"/>
      <c r="H29" s="2150"/>
      <c r="I29" s="2150"/>
      <c r="J29" s="2150"/>
      <c r="K29" s="201">
        <v>0</v>
      </c>
      <c r="L29" s="484" t="s">
        <v>859</v>
      </c>
      <c r="M29" s="485">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51" t="s">
        <v>871</v>
      </c>
      <c r="D31" s="1651"/>
      <c r="E31" s="1651"/>
      <c r="F31" s="1651"/>
      <c r="G31" s="1651"/>
      <c r="H31" s="1651"/>
      <c r="I31" s="1651"/>
      <c r="J31" s="49"/>
      <c r="K31" s="202"/>
      <c r="L31" s="50"/>
      <c r="M31" s="495">
        <f>SUM(K20:K31)</f>
        <v>642725.16999999993</v>
      </c>
      <c r="N31" s="49"/>
      <c r="O31" s="49"/>
    </row>
    <row r="32" spans="1:15" s="15" customFormat="1" ht="14.1" customHeight="1">
      <c r="A32" s="16"/>
      <c r="E32" s="17"/>
      <c r="G32" s="18"/>
      <c r="I32" s="49"/>
      <c r="J32" s="49"/>
      <c r="K32" s="202" t="s">
        <v>180</v>
      </c>
      <c r="L32" s="50"/>
      <c r="M32" s="205"/>
      <c r="N32" s="49"/>
      <c r="O32" s="195"/>
    </row>
    <row r="33" spans="1:17" ht="17.7">
      <c r="C33" s="2153" t="s">
        <v>880</v>
      </c>
      <c r="D33" s="2153"/>
      <c r="E33" s="2153"/>
      <c r="F33" s="2153"/>
      <c r="G33" s="2153"/>
      <c r="H33" s="2153"/>
      <c r="I33" s="2153"/>
      <c r="M33" s="497">
        <f>SUM(M20:M29)</f>
        <v>600000</v>
      </c>
    </row>
    <row r="34" spans="1:17" s="15" customFormat="1" ht="14.1" customHeight="1">
      <c r="A34" s="16"/>
      <c r="B34" s="16"/>
      <c r="E34" s="17"/>
      <c r="G34" s="18"/>
      <c r="I34" s="145"/>
      <c r="J34" s="146"/>
      <c r="K34" s="145"/>
      <c r="L34" s="50"/>
      <c r="O34" s="205">
        <f>SUM(K20:K30,M33)</f>
        <v>1242725.17</v>
      </c>
    </row>
    <row r="35" spans="1:17" s="15" customFormat="1" ht="14.1" customHeight="1">
      <c r="A35" s="7" t="s">
        <v>166</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167</v>
      </c>
      <c r="B37" s="9"/>
      <c r="C37" s="9"/>
      <c r="D37" s="9"/>
      <c r="E37" s="10" t="s">
        <v>168</v>
      </c>
      <c r="F37" s="11"/>
      <c r="G37" s="12" t="s">
        <v>169</v>
      </c>
      <c r="H37" s="11"/>
      <c r="I37" s="11" t="s">
        <v>170</v>
      </c>
      <c r="J37" s="11"/>
      <c r="K37" s="11" t="s">
        <v>171</v>
      </c>
      <c r="L37" s="48"/>
      <c r="M37" s="11" t="s">
        <v>172</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854</v>
      </c>
      <c r="C39" s="196" t="s">
        <v>867</v>
      </c>
      <c r="E39" s="17" t="s">
        <v>873</v>
      </c>
      <c r="G39" s="18"/>
      <c r="I39" s="49"/>
      <c r="J39" s="49"/>
      <c r="K39" s="143">
        <v>51323.73</v>
      </c>
      <c r="L39" s="56"/>
      <c r="M39" s="206">
        <v>97893</v>
      </c>
      <c r="N39" s="57"/>
      <c r="O39" s="58"/>
    </row>
    <row r="40" spans="1:17" s="15" customFormat="1" ht="14.1" customHeight="1">
      <c r="A40" s="16" t="s">
        <v>854</v>
      </c>
      <c r="C40" s="196" t="s">
        <v>867</v>
      </c>
      <c r="E40" s="17" t="s">
        <v>874</v>
      </c>
      <c r="G40" s="18"/>
      <c r="I40" s="49"/>
      <c r="J40" s="49"/>
      <c r="K40" s="143">
        <v>17535.72</v>
      </c>
      <c r="L40" s="56"/>
      <c r="M40" s="206">
        <v>81073</v>
      </c>
      <c r="N40" s="57"/>
      <c r="O40" s="58"/>
    </row>
    <row r="41" spans="1:17" s="15" customFormat="1" ht="14.1" customHeight="1">
      <c r="A41" s="16" t="s">
        <v>852</v>
      </c>
      <c r="C41" s="196" t="s">
        <v>867</v>
      </c>
      <c r="E41" s="17" t="s">
        <v>874</v>
      </c>
      <c r="G41" s="18"/>
      <c r="I41" s="49"/>
      <c r="J41" s="49"/>
      <c r="K41" s="143">
        <v>48829.91</v>
      </c>
      <c r="L41" s="56"/>
      <c r="M41" s="206">
        <v>150000</v>
      </c>
      <c r="N41" s="57"/>
      <c r="O41" s="58"/>
    </row>
    <row r="42" spans="1:17" s="15" customFormat="1" ht="13.6" customHeight="1">
      <c r="A42" s="16" t="s">
        <v>852</v>
      </c>
      <c r="C42" s="196" t="s">
        <v>867</v>
      </c>
      <c r="E42" s="17" t="s">
        <v>873</v>
      </c>
      <c r="G42" s="18"/>
      <c r="I42" s="49"/>
      <c r="J42" s="49"/>
      <c r="K42" s="143">
        <v>33767.31</v>
      </c>
      <c r="L42" s="56"/>
      <c r="M42" s="206">
        <v>60526</v>
      </c>
      <c r="N42" s="57"/>
      <c r="O42" s="58"/>
    </row>
    <row r="43" spans="1:17" s="15" customFormat="1" ht="13.6" customHeight="1">
      <c r="A43" s="16"/>
      <c r="E43" s="153"/>
      <c r="G43" s="18"/>
      <c r="I43" s="49"/>
      <c r="J43" s="49"/>
      <c r="K43" s="151" t="s">
        <v>174</v>
      </c>
      <c r="L43" s="56"/>
      <c r="M43" s="147"/>
      <c r="N43" s="57"/>
      <c r="O43" s="58">
        <f>SUM(K39:K42)</f>
        <v>151456.67000000001</v>
      </c>
    </row>
    <row r="44" spans="1:17" s="2" customFormat="1" ht="13.6" customHeight="1">
      <c r="A44" s="24" t="s">
        <v>175</v>
      </c>
      <c r="B44" s="29"/>
      <c r="C44" s="30"/>
      <c r="D44" s="29"/>
      <c r="E44" s="13" t="s">
        <v>176</v>
      </c>
      <c r="F44" s="25"/>
      <c r="G44" s="25" t="s">
        <v>169</v>
      </c>
      <c r="H44" s="26"/>
      <c r="I44" s="25" t="s">
        <v>170</v>
      </c>
      <c r="J44" s="11"/>
      <c r="K44" s="26" t="s">
        <v>177</v>
      </c>
      <c r="L44" s="25"/>
      <c r="M44" s="13" t="s">
        <v>178</v>
      </c>
      <c r="N44" s="11"/>
      <c r="O44" s="27" t="s">
        <v>179</v>
      </c>
      <c r="P44" s="28"/>
      <c r="Q44" s="28"/>
    </row>
    <row r="45" spans="1:17" ht="14.1" customHeight="1">
      <c r="A45" s="16" t="s">
        <v>852</v>
      </c>
      <c r="B45" s="31"/>
      <c r="C45" s="196"/>
      <c r="D45" s="2"/>
      <c r="E45" s="32"/>
      <c r="F45" s="2"/>
      <c r="G45" s="5"/>
      <c r="H45" s="2"/>
      <c r="I45" s="369" t="s">
        <v>180</v>
      </c>
      <c r="J45" s="61"/>
      <c r="K45" s="370" t="s">
        <v>180</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854</v>
      </c>
      <c r="B47" s="31"/>
      <c r="C47" s="196"/>
      <c r="D47" s="2"/>
      <c r="E47" s="32"/>
      <c r="F47" s="2"/>
      <c r="G47" s="5"/>
      <c r="H47" s="2"/>
      <c r="I47" s="369" t="s">
        <v>180</v>
      </c>
      <c r="J47" s="61"/>
      <c r="K47" s="62" t="s">
        <v>180</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181</v>
      </c>
      <c r="B49" s="8"/>
      <c r="C49" s="9"/>
      <c r="D49" s="9"/>
      <c r="E49" s="10" t="s">
        <v>875</v>
      </c>
      <c r="F49" s="11"/>
      <c r="G49" s="64" t="s">
        <v>876</v>
      </c>
      <c r="H49" s="59"/>
      <c r="I49" s="59" t="s">
        <v>186</v>
      </c>
      <c r="J49" s="59"/>
      <c r="K49" s="59" t="s">
        <v>187</v>
      </c>
      <c r="L49" s="48"/>
      <c r="M49" s="59" t="s">
        <v>188</v>
      </c>
      <c r="N49" s="59"/>
      <c r="O49" s="60"/>
    </row>
    <row r="50" spans="1:15" s="15" customFormat="1" ht="14.1" customHeight="1">
      <c r="A50" s="16" t="s">
        <v>877</v>
      </c>
      <c r="C50" s="196" t="s">
        <v>878</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193</v>
      </c>
      <c r="E54" s="17"/>
      <c r="G54" s="18"/>
      <c r="I54" s="49"/>
      <c r="J54" s="49"/>
      <c r="K54" s="49"/>
      <c r="L54" s="50"/>
      <c r="M54" s="57" t="s">
        <v>194</v>
      </c>
      <c r="N54" s="57"/>
      <c r="O54" s="205">
        <f>SUM(O36+O43+O52,K51:K52)</f>
        <v>1564181.8399999999</v>
      </c>
    </row>
    <row r="55" spans="1:15" s="15" customFormat="1" ht="12.95" customHeight="1">
      <c r="A55" s="138"/>
      <c r="E55" s="17"/>
      <c r="G55" s="18"/>
      <c r="I55" s="49"/>
      <c r="J55" s="49"/>
      <c r="K55" s="49"/>
      <c r="L55" s="50"/>
      <c r="M55" s="323" t="s">
        <v>195</v>
      </c>
      <c r="N55" s="57"/>
      <c r="O55" s="438">
        <f>SUM(I50:I52)</f>
        <v>120000</v>
      </c>
    </row>
    <row r="56" spans="1:15" s="15" customFormat="1" ht="12.95" customHeight="1">
      <c r="E56" s="17"/>
      <c r="G56" s="18"/>
      <c r="I56" s="49"/>
      <c r="J56" s="49"/>
      <c r="K56" s="49"/>
      <c r="L56" s="50"/>
      <c r="M56" s="57" t="s">
        <v>196</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E26:J26"/>
    <mergeCell ref="H27:J27"/>
    <mergeCell ref="E29:J29"/>
    <mergeCell ref="C33:I33"/>
    <mergeCell ref="E1:F1"/>
    <mergeCell ref="E3:K3"/>
    <mergeCell ref="E4:K4"/>
    <mergeCell ref="G5:J5"/>
    <mergeCell ref="E21:J21"/>
    <mergeCell ref="E22:J22"/>
    <mergeCell ref="C31:I31"/>
    <mergeCell ref="D2:L2"/>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1499984740745262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55" t="s">
        <v>713</v>
      </c>
      <c r="M1" s="2155"/>
      <c r="N1" s="488">
        <v>75000</v>
      </c>
    </row>
    <row r="2" spans="1:25" ht="20.3">
      <c r="A2" s="302"/>
      <c r="B2" s="304"/>
      <c r="C2" s="329"/>
      <c r="D2" s="380"/>
      <c r="E2" s="2156" t="str" cm="1">
        <f t="array" ref="E2:K2">'AS with changes'!E3:K3</f>
        <v>William C Ross and Catherine A Ross</v>
      </c>
      <c r="F2" s="2157">
        <v>0</v>
      </c>
      <c r="G2" s="2157">
        <v>0</v>
      </c>
      <c r="H2" s="2157">
        <v>0</v>
      </c>
      <c r="I2" s="2157">
        <v>0</v>
      </c>
      <c r="J2" s="2157">
        <v>0</v>
      </c>
      <c r="K2" s="2157">
        <v>0</v>
      </c>
      <c r="L2" s="489"/>
      <c r="M2" s="487"/>
      <c r="N2" s="490">
        <f>'AS with changes'!G1</f>
        <v>42677</v>
      </c>
    </row>
    <row r="3" spans="1:25" ht="24.05" customHeight="1">
      <c r="A3" s="302"/>
      <c r="B3" s="304"/>
      <c r="C3" s="2158" t="s">
        <v>803</v>
      </c>
      <c r="D3" s="2158"/>
      <c r="E3" s="2158"/>
      <c r="F3" s="2158"/>
      <c r="G3" s="2158"/>
      <c r="H3" s="2158"/>
      <c r="I3" s="2158"/>
      <c r="J3" s="2158"/>
      <c r="K3" s="2158"/>
      <c r="L3" s="2158"/>
      <c r="M3" s="2158"/>
      <c r="N3" s="491">
        <v>75000</v>
      </c>
    </row>
    <row r="4" spans="1:25" ht="19">
      <c r="A4" s="302"/>
      <c r="B4" s="304"/>
      <c r="C4" s="2159" t="s">
        <v>881</v>
      </c>
      <c r="D4" s="2160"/>
      <c r="E4" s="2160"/>
      <c r="F4" s="2160"/>
      <c r="G4" s="2160"/>
      <c r="H4" s="2160"/>
      <c r="I4" s="2160"/>
      <c r="J4" s="2160"/>
      <c r="K4" s="2160"/>
      <c r="L4" s="2160"/>
      <c r="M4" s="2160"/>
      <c r="N4" s="435"/>
    </row>
    <row r="5" spans="1:25" ht="15.05">
      <c r="A5" s="302"/>
      <c r="B5" s="304"/>
      <c r="C5" s="300"/>
      <c r="D5" s="2161" t="s">
        <v>882</v>
      </c>
      <c r="E5" s="2161"/>
      <c r="F5" s="2161"/>
      <c r="G5" s="2161"/>
      <c r="H5" s="2161"/>
      <c r="I5" s="2161"/>
      <c r="J5" s="2161"/>
      <c r="K5" s="2161"/>
      <c r="L5" s="2161"/>
      <c r="M5" s="331">
        <f>'AS with changes'!M4</f>
        <v>19109</v>
      </c>
      <c r="N5" s="335">
        <f>'AS with changes'!O4</f>
        <v>64</v>
      </c>
    </row>
    <row r="6" spans="1:25" ht="15.05">
      <c r="A6" s="302"/>
      <c r="B6" s="304"/>
      <c r="C6" s="300"/>
      <c r="D6" s="2083" t="s">
        <v>883</v>
      </c>
      <c r="E6" s="2083"/>
      <c r="F6" s="2083"/>
      <c r="G6" s="2083"/>
      <c r="H6" s="2083"/>
      <c r="I6" s="2083"/>
      <c r="J6" s="2083"/>
      <c r="K6" s="2083"/>
      <c r="L6" s="2083"/>
      <c r="M6" s="439">
        <f>'AS with changes'!M5</f>
        <v>20124</v>
      </c>
      <c r="N6" s="336">
        <f>'AS with changes'!O5</f>
        <v>61</v>
      </c>
    </row>
    <row r="7" spans="1:25">
      <c r="A7" s="305"/>
      <c r="B7" s="304"/>
      <c r="C7" s="300"/>
      <c r="D7" s="2085"/>
      <c r="E7" s="2085"/>
      <c r="F7" s="2085"/>
      <c r="G7" s="2085"/>
      <c r="H7" s="2085"/>
      <c r="I7" s="2085"/>
      <c r="J7" s="2085"/>
      <c r="K7" s="2085"/>
      <c r="L7" s="2085"/>
      <c r="M7" s="380"/>
      <c r="N7" s="436"/>
    </row>
    <row r="8" spans="1:25" s="37" customFormat="1" ht="100" customHeight="1">
      <c r="A8" s="212" t="s">
        <v>26</v>
      </c>
      <c r="B8" s="212" t="s">
        <v>591</v>
      </c>
      <c r="C8" s="212" t="s">
        <v>592</v>
      </c>
      <c r="D8" s="374" t="s">
        <v>383</v>
      </c>
      <c r="E8" s="139" t="s">
        <v>524</v>
      </c>
      <c r="F8" s="136" t="s">
        <v>148</v>
      </c>
      <c r="G8" s="139" t="s">
        <v>154</v>
      </c>
      <c r="H8" s="479" t="s">
        <v>884</v>
      </c>
      <c r="I8" s="478" t="s">
        <v>885</v>
      </c>
      <c r="J8" s="136" t="s">
        <v>886</v>
      </c>
      <c r="K8" s="139" t="s">
        <v>887</v>
      </c>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810</v>
      </c>
      <c r="I10" s="440" t="s">
        <v>810</v>
      </c>
      <c r="J10" s="445" t="s">
        <v>888</v>
      </c>
      <c r="K10" s="440" t="s">
        <v>889</v>
      </c>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50">
        <f t="shared" si="1"/>
        <v>66</v>
      </c>
      <c r="C13" s="341">
        <f t="shared" si="1"/>
        <v>63</v>
      </c>
      <c r="D13" s="190">
        <v>27300</v>
      </c>
      <c r="E13" s="190">
        <v>28152</v>
      </c>
      <c r="F13" s="219">
        <v>0</v>
      </c>
      <c r="G13" s="219">
        <v>0</v>
      </c>
      <c r="H13" s="480">
        <v>10071.950000000001</v>
      </c>
      <c r="I13" s="480">
        <v>10071.950000000001</v>
      </c>
      <c r="J13" s="219">
        <v>0</v>
      </c>
      <c r="K13" s="219">
        <v>0</v>
      </c>
      <c r="L13" s="219">
        <v>0</v>
      </c>
      <c r="M13" s="219">
        <v>0</v>
      </c>
      <c r="N13" s="356">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356">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356">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45">
        <f t="shared" si="0"/>
        <v>87213.069999999992</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481">
        <v>5402.45</v>
      </c>
      <c r="K29" s="481">
        <v>6214.72</v>
      </c>
      <c r="L29" s="219">
        <v>0</v>
      </c>
      <c r="M29" s="219">
        <v>0</v>
      </c>
      <c r="N29" s="45">
        <f t="shared" si="0"/>
        <v>87213.069999999992</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481">
        <v>5402.45</v>
      </c>
      <c r="K30" s="481">
        <v>6214.72</v>
      </c>
      <c r="L30" s="219">
        <v>0</v>
      </c>
      <c r="M30" s="219">
        <v>0</v>
      </c>
      <c r="N30" s="45">
        <f t="shared" si="0"/>
        <v>87213.069999999992</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481">
        <v>5402.45</v>
      </c>
      <c r="K31" s="481">
        <v>6214.72</v>
      </c>
      <c r="L31" s="219">
        <v>0</v>
      </c>
      <c r="M31" s="219">
        <v>0</v>
      </c>
      <c r="N31" s="45">
        <f t="shared" si="0"/>
        <v>87213.069999999992</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481">
        <v>5402.45</v>
      </c>
      <c r="K32" s="481">
        <v>6214.72</v>
      </c>
      <c r="L32" s="219">
        <v>0</v>
      </c>
      <c r="M32" s="219">
        <v>0</v>
      </c>
      <c r="N32" s="45">
        <f t="shared" si="0"/>
        <v>87213.069999999992</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481">
        <v>5402.45</v>
      </c>
      <c r="K33" s="481">
        <v>6214.72</v>
      </c>
      <c r="L33" s="219">
        <v>0</v>
      </c>
      <c r="M33" s="219">
        <v>0</v>
      </c>
      <c r="N33" s="45">
        <f t="shared" si="0"/>
        <v>87213.069999999992</v>
      </c>
    </row>
    <row r="34" spans="1:25">
      <c r="A34" s="119">
        <f t="shared" si="2"/>
        <v>2039</v>
      </c>
      <c r="B34" s="119">
        <f t="shared" si="2"/>
        <v>87</v>
      </c>
      <c r="C34" s="119">
        <f t="shared" si="2"/>
        <v>84</v>
      </c>
      <c r="D34" s="190">
        <v>27300</v>
      </c>
      <c r="E34" s="190">
        <v>28152</v>
      </c>
      <c r="F34" s="219">
        <v>0</v>
      </c>
      <c r="G34" s="219">
        <v>0</v>
      </c>
      <c r="H34" s="480">
        <v>10071.950000000001</v>
      </c>
      <c r="I34" s="480">
        <v>10071.950000000001</v>
      </c>
      <c r="J34" s="481">
        <v>5402.45</v>
      </c>
      <c r="K34" s="481">
        <v>6214.72</v>
      </c>
      <c r="L34" s="219">
        <v>0</v>
      </c>
      <c r="M34" s="219">
        <v>0</v>
      </c>
      <c r="N34" s="45">
        <f t="shared" si="0"/>
        <v>87213.069999999992</v>
      </c>
    </row>
    <row r="35" spans="1:25">
      <c r="A35" s="119">
        <f t="shared" si="2"/>
        <v>2040</v>
      </c>
      <c r="B35" s="119">
        <f t="shared" si="2"/>
        <v>88</v>
      </c>
      <c r="C35" s="119">
        <f t="shared" si="2"/>
        <v>85</v>
      </c>
      <c r="D35" s="190">
        <v>27300</v>
      </c>
      <c r="E35" s="190">
        <v>28152</v>
      </c>
      <c r="F35" s="219">
        <v>0</v>
      </c>
      <c r="G35" s="219">
        <v>0</v>
      </c>
      <c r="H35" s="480">
        <v>10071.950000000001</v>
      </c>
      <c r="I35" s="480">
        <v>10071.950000000001</v>
      </c>
      <c r="J35" s="481">
        <v>5402.45</v>
      </c>
      <c r="K35" s="481">
        <v>6214.72</v>
      </c>
      <c r="L35" s="219">
        <v>0</v>
      </c>
      <c r="M35" s="219">
        <v>0</v>
      </c>
      <c r="N35" s="45">
        <f t="shared" si="0"/>
        <v>87213.069999999992</v>
      </c>
    </row>
    <row r="36" spans="1:25">
      <c r="A36" s="119">
        <f t="shared" si="2"/>
        <v>2041</v>
      </c>
      <c r="B36" s="119">
        <f t="shared" si="2"/>
        <v>89</v>
      </c>
      <c r="C36" s="119">
        <f t="shared" si="2"/>
        <v>86</v>
      </c>
      <c r="D36" s="190">
        <v>27300</v>
      </c>
      <c r="E36" s="190">
        <v>28152</v>
      </c>
      <c r="F36" s="219">
        <v>0</v>
      </c>
      <c r="G36" s="219">
        <v>0</v>
      </c>
      <c r="H36" s="480">
        <v>10071.950000000001</v>
      </c>
      <c r="I36" s="480">
        <v>10071.950000000001</v>
      </c>
      <c r="J36" s="481">
        <v>5402.45</v>
      </c>
      <c r="K36" s="481">
        <v>6214.72</v>
      </c>
      <c r="L36" s="219">
        <v>0</v>
      </c>
      <c r="M36" s="219">
        <v>0</v>
      </c>
      <c r="N36" s="45">
        <f t="shared" si="0"/>
        <v>87213.069999999992</v>
      </c>
    </row>
    <row r="37" spans="1:25">
      <c r="A37" s="119">
        <f t="shared" si="2"/>
        <v>2042</v>
      </c>
      <c r="B37" s="119">
        <f t="shared" si="2"/>
        <v>90</v>
      </c>
      <c r="C37" s="119">
        <f t="shared" si="2"/>
        <v>87</v>
      </c>
      <c r="D37" s="190">
        <v>27300</v>
      </c>
      <c r="E37" s="190">
        <v>28152</v>
      </c>
      <c r="F37" s="219">
        <v>0</v>
      </c>
      <c r="G37" s="219">
        <v>0</v>
      </c>
      <c r="H37" s="480">
        <v>10071.950000000001</v>
      </c>
      <c r="I37" s="480">
        <v>10071.950000000001</v>
      </c>
      <c r="J37" s="481">
        <v>5402.45</v>
      </c>
      <c r="K37" s="481">
        <v>6214.72</v>
      </c>
      <c r="L37" s="219">
        <v>0</v>
      </c>
      <c r="M37" s="219">
        <v>0</v>
      </c>
      <c r="N37" s="45">
        <f t="shared" si="0"/>
        <v>87213.069999999992</v>
      </c>
    </row>
    <row r="38" spans="1:25">
      <c r="A38" s="137">
        <f t="shared" si="2"/>
        <v>2043</v>
      </c>
      <c r="B38" s="137">
        <f t="shared" si="2"/>
        <v>91</v>
      </c>
      <c r="C38" s="137">
        <f t="shared" si="2"/>
        <v>88</v>
      </c>
      <c r="D38" s="190">
        <v>27300</v>
      </c>
      <c r="E38" s="190">
        <v>28152</v>
      </c>
      <c r="F38" s="219">
        <v>0</v>
      </c>
      <c r="G38" s="219">
        <v>0</v>
      </c>
      <c r="H38" s="480">
        <v>10071.950000000001</v>
      </c>
      <c r="I38" s="480">
        <v>10071.950000000001</v>
      </c>
      <c r="J38" s="481">
        <v>5402.45</v>
      </c>
      <c r="K38" s="481">
        <v>6214.72</v>
      </c>
      <c r="L38" s="219">
        <v>0</v>
      </c>
      <c r="M38" s="219">
        <v>0</v>
      </c>
      <c r="N38" s="45">
        <f t="shared" si="0"/>
        <v>87213.069999999992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1"/>
  </sheetPr>
  <dimension ref="A1:N71"/>
  <sheetViews>
    <sheetView showGridLines="0" workbookViewId="0"/>
  </sheetViews>
  <sheetFormatPr defaultColWidth="9.125" defaultRowHeight="12.45"/>
  <cols>
    <col min="1" max="2" width="17.625" customWidth="1"/>
    <col min="3" max="3" width="19.75" customWidth="1"/>
    <col min="10" max="10" width="22" customWidth="1"/>
    <col min="11" max="11" width="18" customWidth="1"/>
    <col min="12" max="12" width="17" customWidth="1"/>
  </cols>
  <sheetData>
    <row r="1" spans="1:13" ht="24.25">
      <c r="A1" s="135" t="s">
        <v>72</v>
      </c>
      <c r="B1" s="134" t="s">
        <v>73</v>
      </c>
      <c r="C1" s="133" t="s">
        <v>74</v>
      </c>
      <c r="D1" s="2164" t="s">
        <v>890</v>
      </c>
      <c r="E1" s="2165"/>
      <c r="F1" s="2165"/>
      <c r="G1" s="2165"/>
      <c r="H1" s="2165"/>
      <c r="I1" s="2165"/>
      <c r="J1" s="2165"/>
      <c r="K1" s="2165"/>
      <c r="L1" s="2165"/>
      <c r="M1" s="2165"/>
    </row>
    <row r="2" spans="1:13" ht="18.350000000000001">
      <c r="A2" s="296">
        <f>'Egan Asset Summary'!O18</f>
        <v>321628.61</v>
      </c>
      <c r="B2" s="298">
        <v>0</v>
      </c>
      <c r="C2" s="297">
        <v>1946235.01</v>
      </c>
      <c r="D2" s="2166" t="s">
        <v>891</v>
      </c>
      <c r="E2" s="2167"/>
      <c r="F2" s="2167"/>
      <c r="G2" s="2167"/>
      <c r="H2" s="2167"/>
      <c r="I2" s="2167"/>
      <c r="J2" s="2167"/>
      <c r="K2" s="2167"/>
      <c r="L2" s="2167"/>
      <c r="M2" s="2167"/>
    </row>
    <row r="3" spans="1:13" ht="26.2">
      <c r="A3" s="34"/>
      <c r="B3" s="118"/>
      <c r="C3" s="35"/>
      <c r="D3" s="1587" t="s">
        <v>892</v>
      </c>
      <c r="E3" s="1588"/>
      <c r="F3" s="1588"/>
      <c r="G3" s="1588"/>
      <c r="H3" s="1588"/>
      <c r="I3" s="1588"/>
      <c r="J3" s="385">
        <f>'Alt Cash Flow  Snapshot No Plan'!M10</f>
        <v>0</v>
      </c>
    </row>
    <row r="4" spans="1:13" ht="14.4">
      <c r="A4" s="34"/>
      <c r="B4" s="118"/>
      <c r="C4" s="35"/>
      <c r="E4" s="75"/>
      <c r="F4" s="75"/>
      <c r="G4" s="75"/>
      <c r="I4" s="1589" t="s">
        <v>893</v>
      </c>
      <c r="J4" s="1590"/>
      <c r="K4" s="1590"/>
      <c r="L4" s="1590"/>
      <c r="M4" s="1590"/>
    </row>
    <row r="5" spans="1:13" ht="18.350000000000001">
      <c r="A5" s="34"/>
      <c r="B5" s="118"/>
      <c r="C5" s="35"/>
      <c r="E5" s="75"/>
      <c r="F5" s="75"/>
      <c r="G5" s="75"/>
      <c r="I5" s="1722"/>
      <c r="J5" s="1723"/>
      <c r="K5" s="1723"/>
      <c r="L5" s="1723"/>
      <c r="M5" s="1723"/>
    </row>
    <row r="6" spans="1:13" ht="18.350000000000001">
      <c r="I6" s="2162" t="s">
        <v>894</v>
      </c>
      <c r="J6" s="2163"/>
      <c r="K6" s="2163"/>
      <c r="L6" s="2163"/>
      <c r="M6" s="2163"/>
    </row>
    <row r="7" spans="1:13" ht="24.25">
      <c r="I7" s="1990" t="s">
        <v>895</v>
      </c>
      <c r="J7" s="2162"/>
      <c r="K7" s="2162"/>
      <c r="L7" s="2162"/>
      <c r="M7" s="2162"/>
    </row>
    <row r="8" spans="1:13" ht="20.3">
      <c r="I8" s="386"/>
      <c r="J8" s="231" t="s">
        <v>145</v>
      </c>
      <c r="K8" s="232" t="s">
        <v>785</v>
      </c>
      <c r="L8" s="348" t="s">
        <v>786</v>
      </c>
      <c r="M8" s="289"/>
    </row>
    <row r="9" spans="1:13" ht="18.350000000000001">
      <c r="I9" s="320" t="s">
        <v>800</v>
      </c>
      <c r="J9" s="236">
        <f>J3</f>
        <v>0</v>
      </c>
      <c r="K9" s="236">
        <f>J3</f>
        <v>0</v>
      </c>
      <c r="L9" s="236">
        <f>J3</f>
        <v>0</v>
      </c>
      <c r="M9" s="262"/>
    </row>
    <row r="10" spans="1:13" ht="17.7">
      <c r="I10" s="238" t="s">
        <v>84</v>
      </c>
      <c r="J10" s="321">
        <f>'Alt Cash Flow  Snapshot No Plan'!M25</f>
        <v>35892</v>
      </c>
      <c r="K10" s="379" t="e">
        <f>#REF!</f>
        <v>#REF!</v>
      </c>
      <c r="L10" s="241" t="e">
        <f>#REF!</f>
        <v>#REF!</v>
      </c>
      <c r="M10" s="262"/>
    </row>
    <row r="11" spans="1:13" ht="18.350000000000001">
      <c r="I11" s="265" t="s">
        <v>802</v>
      </c>
      <c r="J11" s="243">
        <f>J9-J10</f>
        <v>-35892</v>
      </c>
      <c r="K11" s="261" t="e">
        <f>K9-K10</f>
        <v>#REF!</v>
      </c>
      <c r="L11" s="261" t="e">
        <f>L9-L10</f>
        <v>#REF!</v>
      </c>
      <c r="M11" s="286"/>
    </row>
    <row r="12" spans="1:13" ht="15.75">
      <c r="I12" s="2021"/>
      <c r="J12" s="2021"/>
      <c r="K12" s="2021"/>
      <c r="L12" s="2021"/>
      <c r="M12" s="2021"/>
    </row>
    <row r="13" spans="1:13" ht="18.350000000000001">
      <c r="I13" s="1722"/>
      <c r="J13" s="1722"/>
      <c r="K13" s="1722"/>
      <c r="L13" s="1722"/>
      <c r="M13" s="1722"/>
    </row>
    <row r="14" spans="1:13" ht="20.3">
      <c r="I14" s="257"/>
      <c r="J14" s="357" t="s">
        <v>145</v>
      </c>
      <c r="K14" s="358"/>
      <c r="L14" s="358"/>
      <c r="M14" s="287"/>
    </row>
    <row r="15" spans="1:13" ht="18.350000000000001">
      <c r="I15" s="382"/>
      <c r="J15" s="236"/>
      <c r="K15" s="236"/>
      <c r="L15" s="236"/>
      <c r="M15" s="287"/>
    </row>
    <row r="16" spans="1:13" ht="17.7">
      <c r="I16" s="383"/>
      <c r="J16" s="359"/>
      <c r="K16" s="384"/>
      <c r="L16" s="360"/>
      <c r="M16" s="287"/>
    </row>
    <row r="17" spans="9:14" ht="18.350000000000001">
      <c r="I17" s="265"/>
      <c r="J17" s="243"/>
      <c r="K17" s="347"/>
      <c r="L17" s="347"/>
      <c r="M17" s="288"/>
    </row>
    <row r="18" spans="9:14" ht="14.4">
      <c r="I18" s="2022"/>
      <c r="J18" s="2022"/>
      <c r="K18" s="2022"/>
      <c r="L18" s="2022"/>
      <c r="M18" s="2022"/>
    </row>
    <row r="19" spans="9:14" ht="18.350000000000001">
      <c r="I19" s="1722"/>
      <c r="J19" s="1722"/>
      <c r="K19" s="1722"/>
      <c r="L19" s="1722"/>
      <c r="M19" s="1722"/>
    </row>
    <row r="20" spans="9:14" ht="18.350000000000001">
      <c r="I20" s="2169"/>
      <c r="J20" s="2169"/>
      <c r="K20" s="2169"/>
      <c r="L20" s="2169"/>
      <c r="M20" s="2169"/>
    </row>
    <row r="21" spans="9:14" ht="18.350000000000001">
      <c r="I21" s="382"/>
      <c r="J21" s="236"/>
      <c r="K21" s="371"/>
      <c r="L21" s="236"/>
      <c r="M21" s="287"/>
    </row>
    <row r="22" spans="9:14" ht="18" customHeight="1">
      <c r="I22" s="1724"/>
      <c r="J22" s="1724"/>
      <c r="K22" s="1724"/>
      <c r="L22" s="1724"/>
      <c r="M22" s="1724"/>
    </row>
    <row r="23" spans="9:14" ht="15.75">
      <c r="I23" s="2024"/>
      <c r="J23" s="2024"/>
      <c r="K23" s="2024"/>
      <c r="L23" s="2024"/>
      <c r="M23" s="2024"/>
    </row>
    <row r="24" spans="9:14" ht="15.75">
      <c r="I24" s="2170"/>
      <c r="J24" s="2170"/>
      <c r="K24" s="2170"/>
      <c r="L24" s="2170"/>
      <c r="M24" s="2170"/>
    </row>
    <row r="25" spans="9:14" ht="15.75">
      <c r="I25" s="2170"/>
      <c r="J25" s="2170"/>
      <c r="K25" s="2170"/>
      <c r="L25" s="2170"/>
      <c r="M25" s="2170"/>
    </row>
    <row r="26" spans="9:14" ht="18.649999999999999" customHeight="1">
      <c r="I26" s="2168"/>
      <c r="J26" s="2168"/>
      <c r="K26" s="2168"/>
      <c r="L26" s="2168"/>
      <c r="M26" s="2168"/>
    </row>
    <row r="27" spans="9:14" ht="15.05" customHeight="1">
      <c r="I27" s="2168"/>
      <c r="J27" s="2168"/>
      <c r="K27" s="2168"/>
      <c r="L27" s="2168"/>
      <c r="M27" s="2168"/>
      <c r="N27" s="89"/>
    </row>
    <row r="28" spans="9:14" ht="13.6" customHeight="1">
      <c r="I28" s="2168"/>
      <c r="J28" s="2168"/>
      <c r="K28" s="2168"/>
      <c r="L28" s="2168"/>
      <c r="M28" s="2168"/>
    </row>
    <row r="29" spans="9:14" ht="15.75">
      <c r="I29" s="2168"/>
      <c r="J29" s="2168"/>
      <c r="K29" s="2168"/>
      <c r="L29" s="2168"/>
      <c r="M29" s="2168"/>
    </row>
    <row r="30" spans="9:14" ht="15.05">
      <c r="I30" s="2171"/>
      <c r="J30" s="2171"/>
      <c r="K30" s="2171"/>
      <c r="L30" s="2171"/>
      <c r="M30" s="2171"/>
    </row>
    <row r="31" spans="9:14" ht="15.05">
      <c r="I31" s="2171"/>
      <c r="J31" s="2171"/>
      <c r="K31" s="2171"/>
      <c r="L31" s="2171"/>
      <c r="M31" s="2171"/>
    </row>
    <row r="32" spans="9:14" ht="18.649999999999999" customHeight="1">
      <c r="I32" s="2171"/>
      <c r="J32" s="2171"/>
      <c r="K32" s="2171"/>
      <c r="L32" s="2171"/>
      <c r="M32" s="2171"/>
    </row>
    <row r="33" spans="9:13" ht="18.649999999999999" customHeight="1">
      <c r="I33" s="1724"/>
      <c r="J33" s="1724"/>
      <c r="K33" s="1724"/>
      <c r="L33" s="1724"/>
      <c r="M33" s="1724"/>
    </row>
    <row r="34" spans="9:13">
      <c r="I34" s="1724"/>
      <c r="J34" s="1724"/>
      <c r="K34" s="1724"/>
      <c r="L34" s="1724"/>
      <c r="M34" s="1724"/>
    </row>
    <row r="35" spans="9:13">
      <c r="I35" s="1724"/>
      <c r="J35" s="1724"/>
      <c r="K35" s="1724"/>
      <c r="L35" s="1724"/>
      <c r="M35" s="1724"/>
    </row>
    <row r="36" spans="9:13">
      <c r="I36" s="1724"/>
      <c r="J36" s="1724"/>
      <c r="K36" s="1724"/>
      <c r="L36" s="1724"/>
      <c r="M36" s="1724"/>
    </row>
    <row r="37" spans="9:13" ht="15.05">
      <c r="I37" s="1575"/>
      <c r="J37" s="1575"/>
      <c r="K37" s="1575"/>
      <c r="L37" s="1575"/>
      <c r="M37" s="157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99</v>
      </c>
    </row>
  </sheetData>
  <mergeCells count="26">
    <mergeCell ref="I34:M36"/>
    <mergeCell ref="I37:M37"/>
    <mergeCell ref="I28:M28"/>
    <mergeCell ref="I29:M29"/>
    <mergeCell ref="I30:M30"/>
    <mergeCell ref="I31:M31"/>
    <mergeCell ref="I32:M32"/>
    <mergeCell ref="I33:M33"/>
    <mergeCell ref="I27:M27"/>
    <mergeCell ref="I7:M7"/>
    <mergeCell ref="I12:M12"/>
    <mergeCell ref="I13:M13"/>
    <mergeCell ref="I18:M18"/>
    <mergeCell ref="I19:M19"/>
    <mergeCell ref="I20:M20"/>
    <mergeCell ref="I22:M22"/>
    <mergeCell ref="I23:M23"/>
    <mergeCell ref="I24:M24"/>
    <mergeCell ref="I25:M25"/>
    <mergeCell ref="I26:M26"/>
    <mergeCell ref="I6:M6"/>
    <mergeCell ref="D1:M1"/>
    <mergeCell ref="D2:M2"/>
    <mergeCell ref="D3:I3"/>
    <mergeCell ref="I4:M4"/>
    <mergeCell ref="I5:M5"/>
  </mergeCell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5"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55" t="s">
        <v>713</v>
      </c>
      <c r="M1" s="2155"/>
      <c r="N1" s="488">
        <v>75000</v>
      </c>
    </row>
    <row r="2" spans="1:25" ht="20.3">
      <c r="A2" s="302"/>
      <c r="B2" s="304"/>
      <c r="C2" s="329"/>
      <c r="D2" s="487"/>
      <c r="E2" s="2156" t="str" cm="1">
        <f t="array" ref="E2:K2">'AS with changes'!E3:K3</f>
        <v>William C Ross and Catherine A Ross</v>
      </c>
      <c r="F2" s="2157">
        <v>0</v>
      </c>
      <c r="G2" s="2157">
        <v>0</v>
      </c>
      <c r="H2" s="2157">
        <v>0</v>
      </c>
      <c r="I2" s="2157">
        <v>0</v>
      </c>
      <c r="J2" s="2157">
        <v>0</v>
      </c>
      <c r="K2" s="2157">
        <v>0</v>
      </c>
      <c r="L2" s="489"/>
      <c r="M2" s="487"/>
      <c r="N2" s="490">
        <f>'AS with changes'!G1</f>
        <v>42677</v>
      </c>
    </row>
    <row r="3" spans="1:25" ht="24.05" customHeight="1">
      <c r="A3" s="302"/>
      <c r="B3" s="304"/>
      <c r="C3" s="2158" t="s">
        <v>803</v>
      </c>
      <c r="D3" s="2158"/>
      <c r="E3" s="2158"/>
      <c r="F3" s="2158"/>
      <c r="G3" s="2158"/>
      <c r="H3" s="2158"/>
      <c r="I3" s="2158"/>
      <c r="J3" s="2158"/>
      <c r="K3" s="2158"/>
      <c r="L3" s="2158"/>
      <c r="M3" s="2158"/>
      <c r="N3" s="491">
        <v>75000</v>
      </c>
    </row>
    <row r="4" spans="1:25" ht="19">
      <c r="A4" s="302"/>
      <c r="B4" s="304"/>
      <c r="C4" s="2079" t="s">
        <v>742</v>
      </c>
      <c r="D4" s="2080"/>
      <c r="E4" s="2080"/>
      <c r="F4" s="2080"/>
      <c r="G4" s="2080"/>
      <c r="H4" s="2080"/>
      <c r="I4" s="2080"/>
      <c r="J4" s="2080"/>
      <c r="K4" s="2080"/>
      <c r="L4" s="2080"/>
      <c r="M4" s="2080"/>
      <c r="N4" s="381"/>
    </row>
    <row r="5" spans="1:25" ht="20.3">
      <c r="A5" s="302"/>
      <c r="B5" s="304"/>
      <c r="C5" s="300"/>
      <c r="D5" s="2157" t="s">
        <v>896</v>
      </c>
      <c r="E5" s="2172"/>
      <c r="F5" s="2172"/>
      <c r="G5" s="2172"/>
      <c r="H5" s="2172"/>
      <c r="I5" s="2172"/>
      <c r="J5" s="2172"/>
      <c r="K5" s="2172"/>
      <c r="L5" s="2172"/>
      <c r="M5" s="331">
        <f>'AS with changes'!M4</f>
        <v>19109</v>
      </c>
      <c r="N5" s="335">
        <f>'AS with changes'!O4</f>
        <v>64</v>
      </c>
    </row>
    <row r="6" spans="1:25" ht="15.05">
      <c r="A6" s="302"/>
      <c r="B6" s="304"/>
      <c r="C6" s="300"/>
      <c r="D6" s="2083"/>
      <c r="E6" s="2083"/>
      <c r="F6" s="2083"/>
      <c r="G6" s="2083"/>
      <c r="H6" s="2083"/>
      <c r="I6" s="2083"/>
      <c r="J6" s="2083"/>
      <c r="K6" s="2083"/>
      <c r="L6" s="2083"/>
      <c r="M6" s="439">
        <f>'AS with changes'!M5</f>
        <v>20124</v>
      </c>
      <c r="N6" s="336">
        <f>'AS with changes'!O5</f>
        <v>61</v>
      </c>
    </row>
    <row r="7" spans="1:25">
      <c r="A7" s="305"/>
      <c r="B7" s="304"/>
      <c r="C7" s="300"/>
      <c r="D7" s="2085"/>
      <c r="E7" s="2085"/>
      <c r="F7" s="2085"/>
      <c r="G7" s="2085"/>
      <c r="H7" s="2085"/>
      <c r="I7" s="2085"/>
      <c r="J7" s="2085"/>
      <c r="K7" s="2085"/>
      <c r="L7" s="2085"/>
      <c r="M7" s="380"/>
      <c r="N7" s="436"/>
    </row>
    <row r="8" spans="1:25" s="37" customFormat="1" ht="100" customHeight="1">
      <c r="A8" s="212" t="s">
        <v>26</v>
      </c>
      <c r="B8" s="212" t="s">
        <v>591</v>
      </c>
      <c r="C8" s="212" t="s">
        <v>592</v>
      </c>
      <c r="D8" s="374" t="s">
        <v>383</v>
      </c>
      <c r="E8" s="139" t="s">
        <v>524</v>
      </c>
      <c r="F8" s="136" t="s">
        <v>148</v>
      </c>
      <c r="G8" s="139" t="s">
        <v>154</v>
      </c>
      <c r="H8" s="479" t="s">
        <v>884</v>
      </c>
      <c r="I8" s="478" t="s">
        <v>885</v>
      </c>
      <c r="J8" s="136" t="s">
        <v>886</v>
      </c>
      <c r="K8" s="139" t="s">
        <v>887</v>
      </c>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810</v>
      </c>
      <c r="I10" s="440" t="s">
        <v>810</v>
      </c>
      <c r="J10" s="445" t="s">
        <v>888</v>
      </c>
      <c r="K10" s="440" t="s">
        <v>889</v>
      </c>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37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45">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45">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356">
        <f t="shared" si="0"/>
        <v>87213.069999999992</v>
      </c>
    </row>
    <row r="29" spans="1:14">
      <c r="A29" s="119">
        <f t="shared" si="2"/>
        <v>2034</v>
      </c>
      <c r="B29" s="150">
        <f t="shared" si="2"/>
        <v>82</v>
      </c>
      <c r="C29" s="119">
        <f t="shared" si="2"/>
        <v>79</v>
      </c>
      <c r="D29" s="338">
        <v>0</v>
      </c>
      <c r="E29" s="339">
        <v>28152</v>
      </c>
      <c r="F29" s="219">
        <v>0</v>
      </c>
      <c r="G29" s="219">
        <v>0</v>
      </c>
      <c r="H29" s="480">
        <v>10071.950000000001</v>
      </c>
      <c r="I29" s="480">
        <v>10071.950000000001</v>
      </c>
      <c r="J29" s="481">
        <v>5402.45</v>
      </c>
      <c r="K29" s="481">
        <v>6214.72</v>
      </c>
      <c r="L29" s="219">
        <v>0</v>
      </c>
      <c r="M29" s="219">
        <v>0</v>
      </c>
      <c r="N29" s="337">
        <f t="shared" si="0"/>
        <v>59913.069999999992</v>
      </c>
    </row>
    <row r="30" spans="1:14">
      <c r="A30" s="119">
        <f t="shared" si="2"/>
        <v>2035</v>
      </c>
      <c r="B30" s="119">
        <f t="shared" si="2"/>
        <v>83</v>
      </c>
      <c r="C30" s="119">
        <f t="shared" si="2"/>
        <v>80</v>
      </c>
      <c r="D30" s="190">
        <v>0</v>
      </c>
      <c r="E30" s="190">
        <v>28152</v>
      </c>
      <c r="F30" s="219">
        <v>0</v>
      </c>
      <c r="G30" s="219">
        <v>0</v>
      </c>
      <c r="H30" s="480">
        <v>10071.950000000001</v>
      </c>
      <c r="I30" s="480">
        <v>10071.950000000001</v>
      </c>
      <c r="J30" s="481">
        <v>5402.45</v>
      </c>
      <c r="K30" s="481">
        <v>6214.72</v>
      </c>
      <c r="L30" s="219">
        <v>0</v>
      </c>
      <c r="M30" s="219">
        <v>0</v>
      </c>
      <c r="N30" s="45">
        <f t="shared" si="0"/>
        <v>59913.069999999992</v>
      </c>
    </row>
    <row r="31" spans="1:14">
      <c r="A31" s="119">
        <f t="shared" si="2"/>
        <v>2036</v>
      </c>
      <c r="B31" s="119">
        <f t="shared" si="2"/>
        <v>84</v>
      </c>
      <c r="C31" s="119">
        <f t="shared" si="2"/>
        <v>81</v>
      </c>
      <c r="D31" s="190">
        <v>0</v>
      </c>
      <c r="E31" s="190">
        <v>28152</v>
      </c>
      <c r="F31" s="219">
        <v>0</v>
      </c>
      <c r="G31" s="219">
        <v>0</v>
      </c>
      <c r="H31" s="480">
        <v>10071.950000000001</v>
      </c>
      <c r="I31" s="480">
        <v>10071.950000000001</v>
      </c>
      <c r="J31" s="481">
        <v>5402.45</v>
      </c>
      <c r="K31" s="481">
        <v>6214.72</v>
      </c>
      <c r="L31" s="219">
        <v>0</v>
      </c>
      <c r="M31" s="219">
        <v>0</v>
      </c>
      <c r="N31" s="45">
        <f t="shared" si="0"/>
        <v>59913.069999999992</v>
      </c>
    </row>
    <row r="32" spans="1:14">
      <c r="A32" s="119">
        <f t="shared" si="2"/>
        <v>2037</v>
      </c>
      <c r="B32" s="119">
        <f t="shared" si="2"/>
        <v>85</v>
      </c>
      <c r="C32" s="119">
        <f t="shared" si="2"/>
        <v>82</v>
      </c>
      <c r="D32" s="190">
        <v>0</v>
      </c>
      <c r="E32" s="190">
        <v>28152</v>
      </c>
      <c r="F32" s="219">
        <v>0</v>
      </c>
      <c r="G32" s="219">
        <v>0</v>
      </c>
      <c r="H32" s="480">
        <v>10071.950000000001</v>
      </c>
      <c r="I32" s="480">
        <v>10071.950000000001</v>
      </c>
      <c r="J32" s="481">
        <v>5402.45</v>
      </c>
      <c r="K32" s="481">
        <v>6214.72</v>
      </c>
      <c r="L32" s="219">
        <v>0</v>
      </c>
      <c r="M32" s="219">
        <v>0</v>
      </c>
      <c r="N32" s="45">
        <f t="shared" si="0"/>
        <v>59913.069999999992</v>
      </c>
    </row>
    <row r="33" spans="1:25">
      <c r="A33" s="119">
        <f t="shared" si="2"/>
        <v>2038</v>
      </c>
      <c r="B33" s="119">
        <f t="shared" si="2"/>
        <v>86</v>
      </c>
      <c r="C33" s="119">
        <f t="shared" si="2"/>
        <v>83</v>
      </c>
      <c r="D33" s="190">
        <v>0</v>
      </c>
      <c r="E33" s="190">
        <v>28152</v>
      </c>
      <c r="F33" s="219">
        <v>0</v>
      </c>
      <c r="G33" s="219">
        <v>0</v>
      </c>
      <c r="H33" s="480">
        <v>10071.950000000001</v>
      </c>
      <c r="I33" s="480">
        <v>10071.950000000001</v>
      </c>
      <c r="J33" s="481">
        <v>5402.45</v>
      </c>
      <c r="K33" s="481">
        <v>6214.72</v>
      </c>
      <c r="L33" s="219">
        <v>0</v>
      </c>
      <c r="M33" s="219">
        <v>0</v>
      </c>
      <c r="N33" s="45">
        <f t="shared" si="0"/>
        <v>59913.069999999992</v>
      </c>
    </row>
    <row r="34" spans="1:25">
      <c r="A34" s="119">
        <f t="shared" si="2"/>
        <v>2039</v>
      </c>
      <c r="B34" s="119">
        <f t="shared" si="2"/>
        <v>87</v>
      </c>
      <c r="C34" s="119">
        <f t="shared" si="2"/>
        <v>84</v>
      </c>
      <c r="D34" s="190">
        <v>0</v>
      </c>
      <c r="E34" s="190">
        <v>28152</v>
      </c>
      <c r="F34" s="219">
        <v>0</v>
      </c>
      <c r="G34" s="219">
        <v>0</v>
      </c>
      <c r="H34" s="480">
        <v>10071.950000000001</v>
      </c>
      <c r="I34" s="480">
        <v>10071.950000000001</v>
      </c>
      <c r="J34" s="481">
        <v>5402.45</v>
      </c>
      <c r="K34" s="481">
        <v>6214.72</v>
      </c>
      <c r="L34" s="219">
        <v>0</v>
      </c>
      <c r="M34" s="219">
        <v>0</v>
      </c>
      <c r="N34" s="45">
        <f t="shared" si="0"/>
        <v>59913.069999999992</v>
      </c>
    </row>
    <row r="35" spans="1:25">
      <c r="A35" s="119">
        <f t="shared" si="2"/>
        <v>2040</v>
      </c>
      <c r="B35" s="119">
        <f t="shared" si="2"/>
        <v>88</v>
      </c>
      <c r="C35" s="119">
        <f t="shared" si="2"/>
        <v>85</v>
      </c>
      <c r="D35" s="190">
        <v>0</v>
      </c>
      <c r="E35" s="190">
        <v>28152</v>
      </c>
      <c r="F35" s="219">
        <v>0</v>
      </c>
      <c r="G35" s="219">
        <v>0</v>
      </c>
      <c r="H35" s="480">
        <v>10071.950000000001</v>
      </c>
      <c r="I35" s="480">
        <v>10071.950000000001</v>
      </c>
      <c r="J35" s="481">
        <v>5402.45</v>
      </c>
      <c r="K35" s="481">
        <v>6214.72</v>
      </c>
      <c r="L35" s="219">
        <v>0</v>
      </c>
      <c r="M35" s="219">
        <v>0</v>
      </c>
      <c r="N35" s="45">
        <f t="shared" si="0"/>
        <v>59913.069999999992</v>
      </c>
    </row>
    <row r="36" spans="1:25">
      <c r="A36" s="119">
        <f t="shared" si="2"/>
        <v>2041</v>
      </c>
      <c r="B36" s="119">
        <f t="shared" si="2"/>
        <v>89</v>
      </c>
      <c r="C36" s="119">
        <f t="shared" si="2"/>
        <v>86</v>
      </c>
      <c r="D36" s="190">
        <v>0</v>
      </c>
      <c r="E36" s="190">
        <v>28152</v>
      </c>
      <c r="F36" s="219">
        <v>0</v>
      </c>
      <c r="G36" s="219">
        <v>0</v>
      </c>
      <c r="H36" s="480">
        <v>10071.950000000001</v>
      </c>
      <c r="I36" s="480">
        <v>10071.950000000001</v>
      </c>
      <c r="J36" s="481">
        <v>5402.45</v>
      </c>
      <c r="K36" s="481">
        <v>6214.72</v>
      </c>
      <c r="L36" s="219">
        <v>0</v>
      </c>
      <c r="M36" s="219">
        <v>0</v>
      </c>
      <c r="N36" s="45">
        <f t="shared" si="0"/>
        <v>59913.069999999992</v>
      </c>
    </row>
    <row r="37" spans="1:25">
      <c r="A37" s="119">
        <f t="shared" si="2"/>
        <v>2042</v>
      </c>
      <c r="B37" s="119">
        <f t="shared" si="2"/>
        <v>90</v>
      </c>
      <c r="C37" s="119">
        <f t="shared" si="2"/>
        <v>87</v>
      </c>
      <c r="D37" s="190">
        <v>0</v>
      </c>
      <c r="E37" s="190">
        <v>28152</v>
      </c>
      <c r="F37" s="219">
        <v>0</v>
      </c>
      <c r="G37" s="219">
        <v>0</v>
      </c>
      <c r="H37" s="480">
        <v>10071.950000000001</v>
      </c>
      <c r="I37" s="480">
        <v>10071.950000000001</v>
      </c>
      <c r="J37" s="481">
        <v>5402.45</v>
      </c>
      <c r="K37" s="481">
        <v>6214.72</v>
      </c>
      <c r="L37" s="219">
        <v>0</v>
      </c>
      <c r="M37" s="219">
        <v>0</v>
      </c>
      <c r="N37" s="45">
        <f t="shared" si="0"/>
        <v>59913.069999999992</v>
      </c>
    </row>
    <row r="38" spans="1:25">
      <c r="A38" s="137">
        <f t="shared" si="2"/>
        <v>2043</v>
      </c>
      <c r="B38" s="137">
        <f t="shared" si="2"/>
        <v>91</v>
      </c>
      <c r="C38" s="137">
        <f t="shared" si="2"/>
        <v>88</v>
      </c>
      <c r="D38" s="190">
        <v>0</v>
      </c>
      <c r="E38" s="190">
        <v>28152</v>
      </c>
      <c r="F38" s="219">
        <v>0</v>
      </c>
      <c r="G38" s="219">
        <v>0</v>
      </c>
      <c r="H38" s="480">
        <v>10071.950000000001</v>
      </c>
      <c r="I38" s="480">
        <v>10071.950000000001</v>
      </c>
      <c r="J38" s="481">
        <v>5402.45</v>
      </c>
      <c r="K38" s="481">
        <v>6214.72</v>
      </c>
      <c r="L38" s="219">
        <v>0</v>
      </c>
      <c r="M38" s="219">
        <v>0</v>
      </c>
      <c r="N38" s="45">
        <f t="shared" si="0"/>
        <v>59913.069999999992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tint="0.599963377788628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55" t="s">
        <v>713</v>
      </c>
      <c r="M1" s="2155"/>
      <c r="N1" s="488">
        <v>75000</v>
      </c>
    </row>
    <row r="2" spans="1:25" ht="20.3">
      <c r="A2" s="302"/>
      <c r="B2" s="304"/>
      <c r="C2" s="329"/>
      <c r="D2" s="380"/>
      <c r="E2" s="2156" t="str" cm="1">
        <f t="array" ref="E2:K2">'AS with changes'!E3:K3</f>
        <v>William C Ross and Catherine A Ross</v>
      </c>
      <c r="F2" s="2157">
        <v>0</v>
      </c>
      <c r="G2" s="2157">
        <v>0</v>
      </c>
      <c r="H2" s="2157">
        <v>0</v>
      </c>
      <c r="I2" s="2157">
        <v>0</v>
      </c>
      <c r="J2" s="2157">
        <v>0</v>
      </c>
      <c r="K2" s="2157">
        <v>0</v>
      </c>
      <c r="L2" s="489"/>
      <c r="M2" s="487"/>
      <c r="N2" s="490">
        <f>'AS with changes'!G1</f>
        <v>42677</v>
      </c>
    </row>
    <row r="3" spans="1:25" ht="24.05" customHeight="1">
      <c r="A3" s="302"/>
      <c r="B3" s="304"/>
      <c r="C3" s="2158" t="s">
        <v>803</v>
      </c>
      <c r="D3" s="2158"/>
      <c r="E3" s="2158"/>
      <c r="F3" s="2158"/>
      <c r="G3" s="2158"/>
      <c r="H3" s="2158"/>
      <c r="I3" s="2158"/>
      <c r="J3" s="2158"/>
      <c r="K3" s="2158"/>
      <c r="L3" s="2158"/>
      <c r="M3" s="2158"/>
      <c r="N3" s="491">
        <v>75000</v>
      </c>
    </row>
    <row r="4" spans="1:25" ht="19">
      <c r="A4" s="302"/>
      <c r="B4" s="304"/>
      <c r="C4" s="2081" t="s">
        <v>841</v>
      </c>
      <c r="D4" s="2082"/>
      <c r="E4" s="2082"/>
      <c r="F4" s="2082"/>
      <c r="G4" s="2082"/>
      <c r="H4" s="2082"/>
      <c r="I4" s="2082"/>
      <c r="J4" s="2082"/>
      <c r="K4" s="2082"/>
      <c r="L4" s="2082"/>
      <c r="M4" s="2082"/>
      <c r="N4" s="451"/>
    </row>
    <row r="5" spans="1:25" ht="20.3">
      <c r="A5" s="302"/>
      <c r="B5" s="304"/>
      <c r="C5" s="300"/>
      <c r="D5" s="2157" t="s">
        <v>896</v>
      </c>
      <c r="E5" s="2173"/>
      <c r="F5" s="2173"/>
      <c r="G5" s="2173"/>
      <c r="H5" s="2173"/>
      <c r="I5" s="2173"/>
      <c r="J5" s="2173"/>
      <c r="K5" s="2173"/>
      <c r="L5" s="2173"/>
      <c r="M5" s="331">
        <f>'AS with changes'!M4</f>
        <v>19109</v>
      </c>
      <c r="N5" s="335">
        <f>'AS with changes'!O4</f>
        <v>64</v>
      </c>
    </row>
    <row r="6" spans="1:25" ht="15.05">
      <c r="A6" s="302"/>
      <c r="B6" s="304"/>
      <c r="C6" s="300"/>
      <c r="D6" s="2083"/>
      <c r="E6" s="2083"/>
      <c r="F6" s="2083"/>
      <c r="G6" s="2083"/>
      <c r="H6" s="2083"/>
      <c r="I6" s="2083"/>
      <c r="J6" s="2083"/>
      <c r="K6" s="2083"/>
      <c r="L6" s="2083"/>
      <c r="M6" s="439">
        <f>'AS with changes'!M5</f>
        <v>20124</v>
      </c>
      <c r="N6" s="336">
        <f>'AS with changes'!O5</f>
        <v>61</v>
      </c>
    </row>
    <row r="7" spans="1:25">
      <c r="A7" s="305"/>
      <c r="B7" s="304"/>
      <c r="C7" s="300"/>
      <c r="D7" s="2085"/>
      <c r="E7" s="2085"/>
      <c r="F7" s="2085"/>
      <c r="G7" s="2085"/>
      <c r="H7" s="2085"/>
      <c r="I7" s="2085"/>
      <c r="J7" s="2085"/>
      <c r="K7" s="2085"/>
      <c r="L7" s="2085"/>
      <c r="M7" s="380"/>
      <c r="N7" s="436"/>
    </row>
    <row r="8" spans="1:25" s="37" customFormat="1" ht="100" customHeight="1">
      <c r="A8" s="212" t="s">
        <v>26</v>
      </c>
      <c r="B8" s="212" t="s">
        <v>591</v>
      </c>
      <c r="C8" s="212" t="s">
        <v>592</v>
      </c>
      <c r="D8" s="374" t="s">
        <v>383</v>
      </c>
      <c r="E8" s="139" t="s">
        <v>524</v>
      </c>
      <c r="F8" s="136" t="s">
        <v>148</v>
      </c>
      <c r="G8" s="139" t="s">
        <v>154</v>
      </c>
      <c r="H8" s="479" t="s">
        <v>884</v>
      </c>
      <c r="I8" s="478" t="s">
        <v>885</v>
      </c>
      <c r="J8" s="136" t="s">
        <v>886</v>
      </c>
      <c r="K8" s="139" t="s">
        <v>887</v>
      </c>
      <c r="L8" s="36"/>
      <c r="M8" s="36"/>
      <c r="N8" s="149" t="s">
        <v>31</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2" t="s">
        <v>34</v>
      </c>
      <c r="B10" s="1532"/>
      <c r="C10" s="1977"/>
      <c r="D10" s="376" t="s">
        <v>807</v>
      </c>
      <c r="E10" s="377" t="s">
        <v>808</v>
      </c>
      <c r="F10" s="445" t="s">
        <v>809</v>
      </c>
      <c r="G10" s="294" t="s">
        <v>809</v>
      </c>
      <c r="H10" s="445" t="s">
        <v>810</v>
      </c>
      <c r="I10" s="440" t="s">
        <v>810</v>
      </c>
      <c r="J10" s="445" t="s">
        <v>888</v>
      </c>
      <c r="K10" s="440" t="s">
        <v>889</v>
      </c>
      <c r="L10" s="217"/>
      <c r="M10" s="217"/>
      <c r="N10" s="218" t="s">
        <v>728</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37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45">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45">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45">
        <f t="shared" si="0"/>
        <v>87213.069999999992</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481">
        <v>5402.45</v>
      </c>
      <c r="K29" s="481">
        <v>6214.72</v>
      </c>
      <c r="L29" s="219">
        <v>0</v>
      </c>
      <c r="M29" s="219">
        <v>0</v>
      </c>
      <c r="N29" s="45">
        <f t="shared" si="0"/>
        <v>87213.069999999992</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481">
        <v>5402.45</v>
      </c>
      <c r="K30" s="481">
        <v>6214.72</v>
      </c>
      <c r="L30" s="219">
        <v>0</v>
      </c>
      <c r="M30" s="219">
        <v>0</v>
      </c>
      <c r="N30" s="45">
        <f t="shared" si="0"/>
        <v>87213.069999999992</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481">
        <v>5402.45</v>
      </c>
      <c r="K31" s="481">
        <v>6214.72</v>
      </c>
      <c r="L31" s="219">
        <v>0</v>
      </c>
      <c r="M31" s="219">
        <v>0</v>
      </c>
      <c r="N31" s="45">
        <f t="shared" si="0"/>
        <v>87213.069999999992</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481">
        <v>5402.45</v>
      </c>
      <c r="K32" s="481">
        <v>6214.72</v>
      </c>
      <c r="L32" s="219">
        <v>0</v>
      </c>
      <c r="M32" s="219">
        <v>0</v>
      </c>
      <c r="N32" s="45">
        <f t="shared" si="0"/>
        <v>87213.069999999992</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481">
        <v>5402.45</v>
      </c>
      <c r="K33" s="481">
        <v>6214.72</v>
      </c>
      <c r="L33" s="219">
        <v>0</v>
      </c>
      <c r="M33" s="219">
        <v>0</v>
      </c>
      <c r="N33" s="356">
        <f t="shared" si="0"/>
        <v>87213.069999999992</v>
      </c>
    </row>
    <row r="34" spans="1:25">
      <c r="A34" s="119">
        <f t="shared" si="2"/>
        <v>2039</v>
      </c>
      <c r="B34" s="119">
        <f t="shared" si="2"/>
        <v>87</v>
      </c>
      <c r="C34" s="482">
        <f t="shared" si="2"/>
        <v>84</v>
      </c>
      <c r="D34" s="190">
        <v>0</v>
      </c>
      <c r="E34" s="339">
        <v>28152</v>
      </c>
      <c r="F34" s="219">
        <v>0</v>
      </c>
      <c r="G34" s="219">
        <v>0</v>
      </c>
      <c r="H34" s="480">
        <v>10071.950000000001</v>
      </c>
      <c r="I34" s="480">
        <v>10071.950000000001</v>
      </c>
      <c r="J34" s="481">
        <v>5402.45</v>
      </c>
      <c r="K34" s="481">
        <v>6214.72</v>
      </c>
      <c r="L34" s="219">
        <v>0</v>
      </c>
      <c r="M34" s="219">
        <v>0</v>
      </c>
      <c r="N34" s="340">
        <f t="shared" si="0"/>
        <v>59913.069999999992</v>
      </c>
    </row>
    <row r="35" spans="1:25">
      <c r="A35" s="119">
        <f t="shared" si="2"/>
        <v>2040</v>
      </c>
      <c r="B35" s="119">
        <f t="shared" si="2"/>
        <v>88</v>
      </c>
      <c r="C35" s="119">
        <f t="shared" si="2"/>
        <v>85</v>
      </c>
      <c r="D35" s="190">
        <v>0</v>
      </c>
      <c r="E35" s="190">
        <v>28152</v>
      </c>
      <c r="F35" s="219">
        <v>0</v>
      </c>
      <c r="G35" s="219">
        <v>0</v>
      </c>
      <c r="H35" s="480">
        <v>10071.950000000001</v>
      </c>
      <c r="I35" s="480">
        <v>10071.950000000001</v>
      </c>
      <c r="J35" s="481">
        <v>5402.45</v>
      </c>
      <c r="K35" s="481">
        <v>6214.72</v>
      </c>
      <c r="L35" s="219">
        <v>0</v>
      </c>
      <c r="M35" s="219">
        <v>0</v>
      </c>
      <c r="N35" s="45">
        <f t="shared" si="0"/>
        <v>59913.069999999992</v>
      </c>
    </row>
    <row r="36" spans="1:25">
      <c r="A36" s="119">
        <f t="shared" si="2"/>
        <v>2041</v>
      </c>
      <c r="B36" s="119">
        <f t="shared" si="2"/>
        <v>89</v>
      </c>
      <c r="C36" s="119">
        <f t="shared" si="2"/>
        <v>86</v>
      </c>
      <c r="D36" s="190">
        <v>0</v>
      </c>
      <c r="E36" s="190">
        <v>28152</v>
      </c>
      <c r="F36" s="219">
        <v>0</v>
      </c>
      <c r="G36" s="219">
        <v>0</v>
      </c>
      <c r="H36" s="480">
        <v>10071.950000000001</v>
      </c>
      <c r="I36" s="480">
        <v>10071.950000000001</v>
      </c>
      <c r="J36" s="481">
        <v>5402.45</v>
      </c>
      <c r="K36" s="481">
        <v>6214.72</v>
      </c>
      <c r="L36" s="219">
        <v>0</v>
      </c>
      <c r="M36" s="219">
        <v>0</v>
      </c>
      <c r="N36" s="45">
        <f t="shared" si="0"/>
        <v>59913.069999999992</v>
      </c>
    </row>
    <row r="37" spans="1:25">
      <c r="A37" s="119">
        <f t="shared" si="2"/>
        <v>2042</v>
      </c>
      <c r="B37" s="119">
        <f t="shared" si="2"/>
        <v>90</v>
      </c>
      <c r="C37" s="119">
        <f t="shared" si="2"/>
        <v>87</v>
      </c>
      <c r="D37" s="190">
        <v>0</v>
      </c>
      <c r="E37" s="190">
        <v>28152</v>
      </c>
      <c r="F37" s="219">
        <v>0</v>
      </c>
      <c r="G37" s="219">
        <v>0</v>
      </c>
      <c r="H37" s="480">
        <v>10071.950000000001</v>
      </c>
      <c r="I37" s="480">
        <v>10071.950000000001</v>
      </c>
      <c r="J37" s="481">
        <v>5402.45</v>
      </c>
      <c r="K37" s="481">
        <v>6214.72</v>
      </c>
      <c r="L37" s="219">
        <v>0</v>
      </c>
      <c r="M37" s="219">
        <v>0</v>
      </c>
      <c r="N37" s="45">
        <f t="shared" si="0"/>
        <v>59913.069999999992</v>
      </c>
    </row>
    <row r="38" spans="1:25">
      <c r="A38" s="137">
        <f t="shared" si="2"/>
        <v>2043</v>
      </c>
      <c r="B38" s="137">
        <f t="shared" si="2"/>
        <v>91</v>
      </c>
      <c r="C38" s="137">
        <f t="shared" si="2"/>
        <v>88</v>
      </c>
      <c r="D38" s="190">
        <v>0</v>
      </c>
      <c r="E38" s="190">
        <v>28152</v>
      </c>
      <c r="F38" s="219">
        <v>0</v>
      </c>
      <c r="G38" s="219">
        <v>0</v>
      </c>
      <c r="H38" s="480">
        <v>10071.950000000001</v>
      </c>
      <c r="I38" s="480">
        <v>10071.950000000001</v>
      </c>
      <c r="J38" s="481">
        <v>5402.45</v>
      </c>
      <c r="K38" s="481">
        <v>6214.72</v>
      </c>
      <c r="L38" s="219">
        <v>0</v>
      </c>
      <c r="M38" s="219">
        <v>0</v>
      </c>
      <c r="N38" s="45">
        <f t="shared" si="0"/>
        <v>59913.069999999992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tint="-0.49995422223578601"/>
  </sheetPr>
  <dimension ref="A1"/>
  <sheetViews>
    <sheetView showGridLines="0" workbookViewId="0"/>
  </sheetViews>
  <sheetFormatPr defaultRowHeight="12.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131</vt:i4>
      </vt:variant>
      <vt:variant>
        <vt:lpstr>Named Ranges</vt:lpstr>
      </vt:variant>
      <vt:variant>
        <vt:i4>5</vt:i4>
      </vt:variant>
    </vt:vector>
  </HeadingPairs>
  <TitlesOfParts>
    <vt:vector size="136" baseType="lpstr">
      <vt:lpstr>Single Income Analyzer</vt:lpstr>
      <vt:lpstr>Single Hedge Plan</vt:lpstr>
      <vt:lpstr>Cash Flow Snapshot Single)</vt:lpstr>
      <vt:lpstr>Single Recap</vt:lpstr>
      <vt:lpstr>Inflation Cal</vt:lpstr>
      <vt:lpstr>Cost of Living Calculator</vt:lpstr>
      <vt:lpstr>Del Asset Summary</vt:lpstr>
      <vt:lpstr>Mkt Slide 1</vt:lpstr>
      <vt:lpstr>Mkt Slide 2</vt:lpstr>
      <vt:lpstr>Spenddown calculator</vt:lpstr>
      <vt:lpstr>4% Rule</vt:lpstr>
      <vt:lpstr>Egan Goals</vt:lpstr>
      <vt:lpstr>Egan Asset Summary</vt:lpstr>
      <vt:lpstr>1017 Soc Green Sheet</vt:lpstr>
      <vt:lpstr>COVID-19</vt:lpstr>
      <vt:lpstr>Statement Soc Security</vt:lpstr>
      <vt:lpstr>Goals and Data</vt:lpstr>
      <vt:lpstr>Asset Summary</vt:lpstr>
      <vt:lpstr>Joint NP</vt:lpstr>
      <vt:lpstr>Joint NP Asset Alloc </vt:lpstr>
      <vt:lpstr>Single NP</vt:lpstr>
      <vt:lpstr>Single NP Asset Alloc</vt:lpstr>
      <vt:lpstr>Single Gold Asset Alloc</vt:lpstr>
      <vt:lpstr>Single Gold 179k</vt:lpstr>
      <vt:lpstr>Egan Silver 175k</vt:lpstr>
      <vt:lpstr>Alt Cash Flow  Snapshot No Plan</vt:lpstr>
      <vt:lpstr>F&amp;G Start April of 25 age 66</vt:lpstr>
      <vt:lpstr>A</vt:lpstr>
      <vt:lpstr>B Wellness</vt:lpstr>
      <vt:lpstr>Tax Growth Estate</vt:lpstr>
      <vt:lpstr>State Estate Tax</vt:lpstr>
      <vt:lpstr>Sheet1</vt:lpstr>
      <vt:lpstr>Sheet2</vt:lpstr>
      <vt:lpstr>IRA etc Federal Tax</vt:lpstr>
      <vt:lpstr>1111111111111111111111111111111</vt:lpstr>
      <vt:lpstr>Stem Delivery Asset Summary</vt:lpstr>
      <vt:lpstr>Stem Delivery Allocation</vt:lpstr>
      <vt:lpstr>Stem Comparison $415 Plan</vt:lpstr>
      <vt:lpstr>Stem $415k Ladder Plan</vt:lpstr>
      <vt:lpstr>Stem Gold Immediate Plan</vt:lpstr>
      <vt:lpstr>Stem Comparison Gold Plan 1</vt:lpstr>
      <vt:lpstr>Stem Gold Plan Allocation</vt:lpstr>
      <vt:lpstr>Stem Silver Infla Ladder Plan</vt:lpstr>
      <vt:lpstr>Stem Comparison Silver Plan</vt:lpstr>
      <vt:lpstr>Stem Silver Plan Allocation</vt:lpstr>
      <vt:lpstr>No Ladder Plan</vt:lpstr>
      <vt:lpstr>Ladder Plan</vt:lpstr>
      <vt:lpstr>Silver Plan "2"</vt:lpstr>
      <vt:lpstr>B</vt:lpstr>
      <vt:lpstr>B Allocation</vt:lpstr>
      <vt:lpstr>Platinum Plan</vt:lpstr>
      <vt:lpstr>Platinum Plan Allocation</vt:lpstr>
      <vt:lpstr>Donnas Survival No Plan</vt:lpstr>
      <vt:lpstr>Toms Survival No Plan</vt:lpstr>
      <vt:lpstr>No Plan Recap</vt:lpstr>
      <vt:lpstr>Hedge Plan A Joint</vt:lpstr>
      <vt:lpstr>Hedge Plan A Marys Survival</vt:lpstr>
      <vt:lpstr>Hedge Plan A Gregs Survival</vt:lpstr>
      <vt:lpstr>Hedge Plan B Joint</vt:lpstr>
      <vt:lpstr>Hedge Plan B Marys Survival</vt:lpstr>
      <vt:lpstr>Hedge Plan B Gregs Survival</vt:lpstr>
      <vt:lpstr>Hedge Plan B Recap</vt:lpstr>
      <vt:lpstr>Hedge Plan A Recap  (2)</vt:lpstr>
      <vt:lpstr>Hedge Plan 3 Snapshot</vt:lpstr>
      <vt:lpstr>Comparison Sheet</vt:lpstr>
      <vt:lpstr>FOUNDATION Gold Plan Recap</vt:lpstr>
      <vt:lpstr>Retirement Gold joint $400 Plan</vt:lpstr>
      <vt:lpstr>Cash Flow Income Snapshot</vt:lpstr>
      <vt:lpstr>Retirement Gold Her Surv</vt:lpstr>
      <vt:lpstr>Retirement Gold His Survival</vt:lpstr>
      <vt:lpstr>RG Gold Plan Recap</vt:lpstr>
      <vt:lpstr>Retirement Silver $300 Joint</vt:lpstr>
      <vt:lpstr>Retirement Silver Her Survival</vt:lpstr>
      <vt:lpstr>Retirement Silver His Survival</vt:lpstr>
      <vt:lpstr>FOUNDATION Silver $300 Joint</vt:lpstr>
      <vt:lpstr>FOUNDATION Silver Her Surv</vt:lpstr>
      <vt:lpstr>FOUNDATION Silver His Surv</vt:lpstr>
      <vt:lpstr>No Plan Recap  (2)</vt:lpstr>
      <vt:lpstr>Retirement Silver Plan Recap</vt:lpstr>
      <vt:lpstr>FOUNDATION Silver Plan Recap</vt:lpstr>
      <vt:lpstr>Platinum Fact Sheet</vt:lpstr>
      <vt:lpstr>Plan Recap</vt:lpstr>
      <vt:lpstr>Gold Fact Sheet</vt:lpstr>
      <vt:lpstr>Bronze Factoid</vt:lpstr>
      <vt:lpstr>Her Survival Gold</vt:lpstr>
      <vt:lpstr>5Yr Inflation Loss</vt:lpstr>
      <vt:lpstr>Assset Spend Down</vt:lpstr>
      <vt:lpstr>Her Survival Silver</vt:lpstr>
      <vt:lpstr>His Survival Silver</vt:lpstr>
      <vt:lpstr>His Survival Gold</vt:lpstr>
      <vt:lpstr>AS Silver changes</vt:lpstr>
      <vt:lpstr>AS Gold changes</vt:lpstr>
      <vt:lpstr>Platinum Factoid</vt:lpstr>
      <vt:lpstr>AS Platnium changes</vt:lpstr>
      <vt:lpstr>Joint Platinum Hybrid Plan</vt:lpstr>
      <vt:lpstr>Recap No Hybrid Plan</vt:lpstr>
      <vt:lpstr>Her Survival Platinum Plan</vt:lpstr>
      <vt:lpstr>His Survival Platinum Plan</vt:lpstr>
      <vt:lpstr>Scenario One</vt:lpstr>
      <vt:lpstr>Joint Timeline No Plan</vt:lpstr>
      <vt:lpstr>Her Survival No Plan</vt:lpstr>
      <vt:lpstr>His Survival No Plan</vt:lpstr>
      <vt:lpstr>Suitability</vt:lpstr>
      <vt:lpstr>AS with changes</vt:lpstr>
      <vt:lpstr>S&amp;P 500</vt:lpstr>
      <vt:lpstr>Green Money Sources</vt:lpstr>
      <vt:lpstr>Cover for Plan</vt:lpstr>
      <vt:lpstr>Plan 1</vt:lpstr>
      <vt:lpstr>4% Rule Cal P1</vt:lpstr>
      <vt:lpstr>Plan Comparisons</vt:lpstr>
      <vt:lpstr>Stocks Phase Two</vt:lpstr>
      <vt:lpstr>LTC Phase Three</vt:lpstr>
      <vt:lpstr>Suitability 2</vt:lpstr>
      <vt:lpstr>S&amp;P 1-10-16</vt:lpstr>
      <vt:lpstr>Source Data</vt:lpstr>
      <vt:lpstr>Plan B No Cost Recap</vt:lpstr>
      <vt:lpstr>Joint Plan B (2)</vt:lpstr>
      <vt:lpstr>1 to 10</vt:lpstr>
      <vt:lpstr>List 1 to 10</vt:lpstr>
      <vt:lpstr>Sheet10</vt:lpstr>
      <vt:lpstr>New Plan Split</vt:lpstr>
      <vt:lpstr>HiSD</vt:lpstr>
      <vt:lpstr>New ABC Allocation</vt:lpstr>
      <vt:lpstr>MRI -ABC Current Allocation</vt:lpstr>
      <vt:lpstr>The Plan</vt:lpstr>
      <vt:lpstr>Age 63 B No Inflation Plan  (2</vt:lpstr>
      <vt:lpstr>No Plan Results (2)</vt:lpstr>
      <vt:lpstr>Age 63 B No Inflation Plan</vt:lpstr>
      <vt:lpstr>With Inflation Adj Recap</vt:lpstr>
      <vt:lpstr>ABC Current Allocation</vt:lpstr>
      <vt:lpstr>No Inflation Recap</vt:lpstr>
      <vt:lpstr>inflation</vt:lpstr>
      <vt:lpstr>ppy</vt:lpstr>
      <vt:lpstr>rate</vt:lpstr>
      <vt:lpstr>rper</vt:lpstr>
      <vt:lpstr>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John T Davis, CFF</cp:lastModifiedBy>
  <cp:lastPrinted>2026-06-25T12:37:19Z</cp:lastPrinted>
  <dcterms:modified xsi:type="dcterms:W3CDTF">2026-06-25T22:49:14Z</dcterms:modified>
</cp:coreProperties>
</file>