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2.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filterPrivacy="1" codeName="ThisWorkbook"/>
  <xr:revisionPtr revIDLastSave="0" documentId="13_ncr:1_{8F07F004-B5CE-4C1D-9B29-18210FFD14AC}" xr6:coauthVersionLast="47" xr6:coauthVersionMax="47" xr10:uidLastSave="{00000000-0000-0000-0000-000000000000}"/>
  <workbookProtection workbookAlgorithmName="SHA-512" workbookHashValue="PlLqdiJ+E96metmFPB1XfYKJwFw53NRl1OcTeOP5LX/qmZZuwkHiWBQ6+wHIZziEC+9YPrEjkx7KATvh8aUT/g==" workbookSaltValue="nULcwI9zdrIpRu9PlpjI+w==" workbookSpinCount="100000" lockStructure="1"/>
  <bookViews>
    <workbookView xWindow="-120" yWindow="-120" windowWidth="29040" windowHeight="15720" activeTab="2" xr2:uid="{00000000-000D-0000-FFFF-FFFF00000000}"/>
  </bookViews>
  <sheets>
    <sheet name="Connaître son budget mensuel" sheetId="1" r:id="rId1"/>
    <sheet name="Suivi budget mensuel" sheetId="4" r:id="rId2"/>
    <sheet name="Parrainages et comparateurs" sheetId="5" r:id="rId3"/>
  </sheets>
  <definedNames>
    <definedName name="DernièreColonne">COUNTA('Suivi budget mensuel'!$6:$6)+1</definedName>
    <definedName name="ZoneImpression_DÉFINIR">OFFSET('Suivi budget mensuel'!$C$4,,,MATCH(REPT("z",255),'Suivi budget mensuel'!$C:$C),DernièreColonne)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1" i="4" l="1"/>
  <c r="D122" i="4"/>
  <c r="J67" i="1" l="1"/>
  <c r="I72" i="1"/>
  <c r="H72" i="1"/>
  <c r="E75" i="1"/>
  <c r="E70" i="1"/>
  <c r="D76" i="1"/>
  <c r="C76" i="1"/>
  <c r="J59" i="1"/>
  <c r="H63" i="1"/>
  <c r="E65" i="1"/>
  <c r="E61" i="1"/>
  <c r="C66" i="1"/>
  <c r="J50" i="1"/>
  <c r="H55" i="1"/>
  <c r="E53" i="1"/>
  <c r="C56" i="1"/>
  <c r="I46" i="1"/>
  <c r="H46" i="1"/>
  <c r="J41" i="1"/>
  <c r="E48" i="1"/>
  <c r="E44" i="1"/>
  <c r="D49" i="1"/>
  <c r="C49" i="1"/>
  <c r="I37" i="1"/>
  <c r="H37" i="1"/>
  <c r="J36" i="1"/>
  <c r="J37" i="1" s="1"/>
  <c r="J31" i="1"/>
  <c r="E40" i="1"/>
  <c r="E32" i="1"/>
  <c r="E33" i="1"/>
  <c r="E34" i="1"/>
  <c r="E35" i="1"/>
  <c r="E36" i="1"/>
  <c r="E37" i="1"/>
  <c r="E38" i="1"/>
  <c r="E39" i="1"/>
  <c r="D40" i="1"/>
  <c r="C40" i="1"/>
  <c r="J27" i="1"/>
  <c r="J18" i="1"/>
  <c r="I27" i="1"/>
  <c r="H27" i="1"/>
  <c r="E28" i="1"/>
  <c r="E18" i="1"/>
  <c r="D28" i="1"/>
  <c r="C28" i="1"/>
  <c r="D12" i="1"/>
  <c r="D7" i="1"/>
  <c r="P17" i="4"/>
  <c r="P18" i="4"/>
  <c r="P19" i="4"/>
  <c r="P16" i="4"/>
  <c r="P20" i="4"/>
  <c r="P106" i="4"/>
  <c r="P113" i="4"/>
  <c r="P104" i="4"/>
  <c r="P59" i="4"/>
  <c r="P60" i="4"/>
  <c r="P61" i="4"/>
  <c r="P62" i="4"/>
  <c r="P63" i="4"/>
  <c r="M64" i="4"/>
  <c r="O64" i="4"/>
  <c r="N64" i="4"/>
  <c r="L64" i="4"/>
  <c r="K64" i="4"/>
  <c r="J64" i="4"/>
  <c r="I64" i="4"/>
  <c r="H64" i="4"/>
  <c r="G64" i="4"/>
  <c r="F64" i="4"/>
  <c r="E64" i="4"/>
  <c r="D64" i="4"/>
  <c r="O110" i="4"/>
  <c r="N110" i="4"/>
  <c r="M110" i="4"/>
  <c r="L110" i="4"/>
  <c r="K110" i="4"/>
  <c r="J110" i="4"/>
  <c r="I110" i="4"/>
  <c r="H110" i="4"/>
  <c r="G110" i="4"/>
  <c r="F110" i="4"/>
  <c r="E110" i="4"/>
  <c r="D110" i="4"/>
  <c r="P109" i="4"/>
  <c r="P108" i="4"/>
  <c r="P107" i="4"/>
  <c r="P105" i="4"/>
  <c r="P51" i="4"/>
  <c r="P52" i="4"/>
  <c r="P53" i="4"/>
  <c r="P29" i="4"/>
  <c r="P30" i="4"/>
  <c r="P31" i="4"/>
  <c r="P32" i="4"/>
  <c r="P33" i="4"/>
  <c r="P41" i="4"/>
  <c r="P42" i="4"/>
  <c r="P43" i="4"/>
  <c r="J76" i="1"/>
  <c r="J51" i="1"/>
  <c r="J42" i="1"/>
  <c r="J52" i="1"/>
  <c r="E74" i="1"/>
  <c r="J60" i="1"/>
  <c r="E72" i="1"/>
  <c r="E71" i="1"/>
  <c r="J70" i="1"/>
  <c r="E24" i="1"/>
  <c r="E27" i="1"/>
  <c r="E46" i="1"/>
  <c r="E45" i="1"/>
  <c r="J34" i="1"/>
  <c r="J35" i="1"/>
  <c r="H2" i="4"/>
  <c r="O118" i="4"/>
  <c r="N118" i="4"/>
  <c r="M118" i="4"/>
  <c r="L118" i="4"/>
  <c r="K118" i="4"/>
  <c r="J118" i="4"/>
  <c r="I118" i="4"/>
  <c r="H118" i="4"/>
  <c r="G118" i="4"/>
  <c r="F118" i="4"/>
  <c r="E118" i="4"/>
  <c r="D118" i="4"/>
  <c r="P117" i="4"/>
  <c r="P116" i="4"/>
  <c r="P115" i="4"/>
  <c r="P114" i="4"/>
  <c r="O101" i="4"/>
  <c r="N101" i="4"/>
  <c r="M101" i="4"/>
  <c r="L101" i="4"/>
  <c r="K101" i="4"/>
  <c r="J101" i="4"/>
  <c r="I101" i="4"/>
  <c r="H101" i="4"/>
  <c r="G101" i="4"/>
  <c r="F101" i="4"/>
  <c r="E101" i="4"/>
  <c r="D101" i="4"/>
  <c r="P100" i="4"/>
  <c r="P99" i="4"/>
  <c r="P98" i="4"/>
  <c r="P97" i="4"/>
  <c r="O94" i="4"/>
  <c r="N94" i="4"/>
  <c r="M94" i="4"/>
  <c r="L94" i="4"/>
  <c r="K94" i="4"/>
  <c r="J94" i="4"/>
  <c r="I94" i="4"/>
  <c r="H94" i="4"/>
  <c r="G94" i="4"/>
  <c r="F94" i="4"/>
  <c r="E94" i="4"/>
  <c r="D94" i="4"/>
  <c r="P93" i="4"/>
  <c r="P92" i="4"/>
  <c r="P91" i="4"/>
  <c r="P90" i="4"/>
  <c r="P89" i="4"/>
  <c r="O86" i="4"/>
  <c r="N86" i="4"/>
  <c r="M86" i="4"/>
  <c r="L86" i="4"/>
  <c r="K86" i="4"/>
  <c r="J86" i="4"/>
  <c r="I86" i="4"/>
  <c r="H86" i="4"/>
  <c r="G86" i="4"/>
  <c r="F86" i="4"/>
  <c r="E86" i="4"/>
  <c r="D86" i="4"/>
  <c r="P85" i="4"/>
  <c r="P84" i="4"/>
  <c r="P83" i="4"/>
  <c r="P82" i="4"/>
  <c r="P81" i="4"/>
  <c r="O78" i="4"/>
  <c r="N78" i="4"/>
  <c r="M78" i="4"/>
  <c r="L78" i="4"/>
  <c r="K78" i="4"/>
  <c r="J78" i="4"/>
  <c r="I78" i="4"/>
  <c r="H78" i="4"/>
  <c r="G78" i="4"/>
  <c r="F78" i="4"/>
  <c r="E78" i="4"/>
  <c r="D78" i="4"/>
  <c r="P77" i="4"/>
  <c r="P76" i="4"/>
  <c r="P75" i="4"/>
  <c r="O72" i="4"/>
  <c r="N72" i="4"/>
  <c r="M72" i="4"/>
  <c r="L72" i="4"/>
  <c r="K72" i="4"/>
  <c r="J72" i="4"/>
  <c r="I72" i="4"/>
  <c r="H72" i="4"/>
  <c r="G72" i="4"/>
  <c r="F72" i="4"/>
  <c r="E72" i="4"/>
  <c r="D72" i="4"/>
  <c r="P71" i="4"/>
  <c r="P70" i="4"/>
  <c r="P69" i="4"/>
  <c r="P68" i="4"/>
  <c r="P67" i="4"/>
  <c r="O56" i="4"/>
  <c r="N56" i="4"/>
  <c r="M56" i="4"/>
  <c r="L56" i="4"/>
  <c r="K56" i="4"/>
  <c r="J56" i="4"/>
  <c r="I56" i="4"/>
  <c r="H56" i="4"/>
  <c r="G56" i="4"/>
  <c r="F56" i="4"/>
  <c r="E56" i="4"/>
  <c r="D56" i="4"/>
  <c r="P55" i="4"/>
  <c r="P54" i="4"/>
  <c r="P50" i="4"/>
  <c r="O47" i="4"/>
  <c r="N47" i="4"/>
  <c r="M47" i="4"/>
  <c r="L47" i="4"/>
  <c r="K47" i="4"/>
  <c r="J47" i="4"/>
  <c r="I47" i="4"/>
  <c r="H47" i="4"/>
  <c r="G47" i="4"/>
  <c r="F47" i="4"/>
  <c r="E47" i="4"/>
  <c r="D47" i="4"/>
  <c r="P46" i="4"/>
  <c r="P45" i="4"/>
  <c r="P44" i="4"/>
  <c r="P40" i="4"/>
  <c r="P39" i="4"/>
  <c r="O36" i="4"/>
  <c r="N36" i="4"/>
  <c r="M36" i="4"/>
  <c r="L36" i="4"/>
  <c r="K36" i="4"/>
  <c r="J36" i="4"/>
  <c r="I36" i="4"/>
  <c r="H36" i="4"/>
  <c r="G36" i="4"/>
  <c r="F36" i="4"/>
  <c r="E36" i="4"/>
  <c r="D36" i="4"/>
  <c r="P35" i="4"/>
  <c r="P34" i="4"/>
  <c r="P28" i="4"/>
  <c r="P27" i="4"/>
  <c r="O24" i="4"/>
  <c r="N24" i="4"/>
  <c r="M24" i="4"/>
  <c r="L24" i="4"/>
  <c r="K24" i="4"/>
  <c r="J24" i="4"/>
  <c r="I24" i="4"/>
  <c r="H24" i="4"/>
  <c r="G24" i="4"/>
  <c r="F24" i="4"/>
  <c r="E24" i="4"/>
  <c r="D24" i="4"/>
  <c r="P23" i="4"/>
  <c r="P22" i="4"/>
  <c r="P21" i="4"/>
  <c r="P15" i="4"/>
  <c r="O11" i="4"/>
  <c r="N11" i="4"/>
  <c r="M11" i="4"/>
  <c r="L11" i="4"/>
  <c r="K11" i="4"/>
  <c r="J11" i="4"/>
  <c r="I11" i="4"/>
  <c r="H11" i="4"/>
  <c r="G11" i="4"/>
  <c r="F11" i="4"/>
  <c r="E11" i="4"/>
  <c r="D11" i="4"/>
  <c r="P10" i="4"/>
  <c r="P9" i="4"/>
  <c r="P8" i="4"/>
  <c r="O121" i="4" l="1"/>
  <c r="F121" i="4"/>
  <c r="F122" i="4" s="1"/>
  <c r="G121" i="4"/>
  <c r="G122" i="4" s="1"/>
  <c r="H121" i="4"/>
  <c r="H122" i="4" s="1"/>
  <c r="N121" i="4"/>
  <c r="N122" i="4" s="1"/>
  <c r="E121" i="4"/>
  <c r="E122" i="4" s="1"/>
  <c r="J121" i="4"/>
  <c r="J122" i="4" s="1"/>
  <c r="M121" i="4"/>
  <c r="M122" i="4" s="1"/>
  <c r="L121" i="4"/>
  <c r="L122" i="4" s="1"/>
  <c r="K121" i="4"/>
  <c r="K122" i="4" s="1"/>
  <c r="O122" i="4"/>
  <c r="P64" i="4"/>
  <c r="I121" i="4"/>
  <c r="I122" i="4" s="1"/>
  <c r="P110" i="4"/>
  <c r="P56" i="4"/>
  <c r="P36" i="4"/>
  <c r="P47" i="4"/>
  <c r="P11" i="4"/>
  <c r="P72" i="4"/>
  <c r="P78" i="4"/>
  <c r="P86" i="4"/>
  <c r="P94" i="4"/>
  <c r="P101" i="4"/>
  <c r="P118" i="4"/>
  <c r="P24" i="4"/>
  <c r="P121" i="4" l="1"/>
  <c r="P122" i="4" s="1"/>
  <c r="D66" i="1"/>
  <c r="E73" i="1"/>
  <c r="E76" i="1" s="1"/>
  <c r="E62" i="1"/>
  <c r="E66" i="1" s="1"/>
  <c r="E63" i="1"/>
  <c r="E64" i="1"/>
  <c r="I63" i="1"/>
  <c r="D56" i="1"/>
  <c r="I55" i="1"/>
  <c r="E54" i="1"/>
  <c r="E56" i="1" s="1"/>
  <c r="E55" i="1"/>
  <c r="J33" i="1"/>
  <c r="J32" i="1"/>
  <c r="J19" i="1"/>
  <c r="J20" i="1"/>
  <c r="J21" i="1"/>
  <c r="J22" i="1"/>
  <c r="J23" i="1"/>
  <c r="J24" i="1"/>
  <c r="J25" i="1"/>
  <c r="J26" i="1"/>
  <c r="J68" i="1"/>
  <c r="J72" i="1" s="1"/>
  <c r="J69" i="1"/>
  <c r="J71" i="1"/>
  <c r="J61" i="1"/>
  <c r="J62" i="1"/>
  <c r="J53" i="1"/>
  <c r="J54" i="1"/>
  <c r="J43" i="1"/>
  <c r="J46" i="1" s="1"/>
  <c r="J44" i="1"/>
  <c r="J45" i="1"/>
  <c r="E47" i="1"/>
  <c r="E49" i="1" s="1"/>
  <c r="J55" i="1" l="1"/>
  <c r="J63" i="1"/>
  <c r="E19" i="1"/>
  <c r="E22" i="1"/>
  <c r="J78" i="1"/>
  <c r="J9" i="1" s="1"/>
  <c r="E23" i="1"/>
  <c r="E25" i="1"/>
  <c r="E20" i="1"/>
  <c r="E21" i="1"/>
  <c r="E26" i="1"/>
  <c r="J80" i="1" l="1"/>
  <c r="J7" i="1"/>
  <c r="J11" i="1" s="1"/>
</calcChain>
</file>

<file path=xl/sharedStrings.xml><?xml version="1.0" encoding="utf-8"?>
<sst xmlns="http://schemas.openxmlformats.org/spreadsheetml/2006/main" count="509" uniqueCount="157">
  <si>
    <t>Revenu mensuel réel</t>
  </si>
  <si>
    <t>Logement</t>
  </si>
  <si>
    <t>0</t>
  </si>
  <si>
    <t>Téléphone</t>
  </si>
  <si>
    <t>Électricité</t>
  </si>
  <si>
    <t>Gaz</t>
  </si>
  <si>
    <t>Eau</t>
  </si>
  <si>
    <t>Autre</t>
  </si>
  <si>
    <t>Sous-total</t>
  </si>
  <si>
    <t>Assurance</t>
  </si>
  <si>
    <t>Carburant</t>
  </si>
  <si>
    <t>Santé</t>
  </si>
  <si>
    <t>Vie</t>
  </si>
  <si>
    <t>Nourriture</t>
  </si>
  <si>
    <t>Courses</t>
  </si>
  <si>
    <t>Animaux</t>
  </si>
  <si>
    <t>Toilettage</t>
  </si>
  <si>
    <t>Jouets</t>
  </si>
  <si>
    <t>Écart</t>
  </si>
  <si>
    <t>Loisirs</t>
  </si>
  <si>
    <t>Carte de crédit</t>
  </si>
  <si>
    <t>Impôts</t>
  </si>
  <si>
    <t>Dons</t>
  </si>
  <si>
    <t>Pension alimentaire</t>
  </si>
  <si>
    <t>Coût prévisionnel total</t>
  </si>
  <si>
    <t>Coût réel total</t>
  </si>
  <si>
    <t>Différence totale</t>
  </si>
  <si>
    <t>_____________________________________________________________________________________________________________________________________________________________________________</t>
  </si>
  <si>
    <t>Colonne1</t>
  </si>
  <si>
    <t>Coût estimé</t>
  </si>
  <si>
    <t>Coût réel</t>
  </si>
  <si>
    <t>Revenu mensuel estimé</t>
  </si>
  <si>
    <t>Revenu fixe</t>
  </si>
  <si>
    <t>Revenu variable</t>
  </si>
  <si>
    <t>Revenu mensuel total estimé</t>
  </si>
  <si>
    <t>Revenu mensuel total réel</t>
  </si>
  <si>
    <t>Internet</t>
  </si>
  <si>
    <t>Charges (copropriété, autres...)</t>
  </si>
  <si>
    <t>Abonnements (Netflix, Spotify, autres…)</t>
  </si>
  <si>
    <t>Loisirs sportifs (événements, licence, autres…)</t>
  </si>
  <si>
    <t>Loisirs musicaux (concerts, CD, autres…)</t>
  </si>
  <si>
    <t>Loisirs mulimédias (cinéma, DVD, presse,…)</t>
  </si>
  <si>
    <t>Loisirs culturels (théâtre, musée, livres,…)</t>
  </si>
  <si>
    <t>Shopping</t>
  </si>
  <si>
    <t>Loisirs récréatifs (jeux vidéos, jeux, autres…)</t>
  </si>
  <si>
    <t>Sorties (restaurant, bar, autres…)</t>
  </si>
  <si>
    <t>Revenu</t>
  </si>
  <si>
    <t>Télévisuel</t>
  </si>
  <si>
    <t>Restaurant scolaire / professionnel</t>
  </si>
  <si>
    <t>Epargne</t>
  </si>
  <si>
    <t>Investissement</t>
  </si>
  <si>
    <t>Association caritative</t>
  </si>
  <si>
    <t>Association politique</t>
  </si>
  <si>
    <t>Famille</t>
  </si>
  <si>
    <t>Divers</t>
  </si>
  <si>
    <t>Proverbe finnois</t>
  </si>
  <si>
    <t>Test de suivi de votre budget mensuel</t>
  </si>
  <si>
    <t>RECETTES</t>
  </si>
  <si>
    <t>JAN</t>
  </si>
  <si>
    <t>FÉV</t>
  </si>
  <si>
    <t>MAR</t>
  </si>
  <si>
    <t>AVR</t>
  </si>
  <si>
    <t>MAI</t>
  </si>
  <si>
    <t>JUIN</t>
  </si>
  <si>
    <t>JUIL</t>
  </si>
  <si>
    <t>AOÛ</t>
  </si>
  <si>
    <t>SEPT</t>
  </si>
  <si>
    <t>OCT</t>
  </si>
  <si>
    <t>NOV</t>
  </si>
  <si>
    <t>DÉC</t>
  </si>
  <si>
    <t>ANNÉE</t>
  </si>
  <si>
    <t>REVENUS</t>
  </si>
  <si>
    <t>Janvier</t>
  </si>
  <si>
    <t>Février</t>
  </si>
  <si>
    <t>Mars</t>
  </si>
  <si>
    <t>Avril</t>
  </si>
  <si>
    <t>Mai</t>
  </si>
  <si>
    <t>Juin</t>
  </si>
  <si>
    <t>Juillet</t>
  </si>
  <si>
    <t>Août</t>
  </si>
  <si>
    <t>Septembre</t>
  </si>
  <si>
    <t>Octobre</t>
  </si>
  <si>
    <t>Novembre</t>
  </si>
  <si>
    <t>Décembre</t>
  </si>
  <si>
    <t>Année</t>
  </si>
  <si>
    <t>Graphique sparkline</t>
  </si>
  <si>
    <t>Total</t>
  </si>
  <si>
    <t>DÉPENSES</t>
  </si>
  <si>
    <t>Réparations</t>
  </si>
  <si>
    <t>Garderie</t>
  </si>
  <si>
    <t>Pressing</t>
  </si>
  <si>
    <t>Ménage</t>
  </si>
  <si>
    <t>TRANSPORTS</t>
  </si>
  <si>
    <t>Parking</t>
  </si>
  <si>
    <t>LOISIRS</t>
  </si>
  <si>
    <t>Retraite</t>
  </si>
  <si>
    <t>TOTAUX</t>
  </si>
  <si>
    <t>GRAPHIQUE SPARKLINE</t>
  </si>
  <si>
    <t>Total des dépenses</t>
  </si>
  <si>
    <t>Déficit/excédent de trésorerie</t>
  </si>
  <si>
    <t>Revenus fixes (salaire, intérêt, immobilier,…)</t>
  </si>
  <si>
    <t>Revenus variables (dividende, prime, don,…)</t>
  </si>
  <si>
    <t>Dépenses</t>
  </si>
  <si>
    <t>LOGEMENT</t>
  </si>
  <si>
    <t>Transport en commun</t>
  </si>
  <si>
    <t>Crédits</t>
  </si>
  <si>
    <t>Péage</t>
  </si>
  <si>
    <t>Entretien / Lavage</t>
  </si>
  <si>
    <t>Immobilier</t>
  </si>
  <si>
    <t>Personnnel</t>
  </si>
  <si>
    <t>Voiture</t>
  </si>
  <si>
    <t>Etudiant</t>
  </si>
  <si>
    <t>Transports</t>
  </si>
  <si>
    <t>Loyer</t>
  </si>
  <si>
    <t>Habitation</t>
  </si>
  <si>
    <t>Locaux (ordures ménagères, autres…)</t>
  </si>
  <si>
    <t>Entretien (chaudière, autres…)</t>
  </si>
  <si>
    <t>Consultation médicale</t>
  </si>
  <si>
    <t>Médicaments</t>
  </si>
  <si>
    <t>Vétérinnaire</t>
  </si>
  <si>
    <t>Dépenses de santé non couvertes</t>
  </si>
  <si>
    <t>Association religieuse</t>
  </si>
  <si>
    <t>Coiffeur / Barbier</t>
  </si>
  <si>
    <t>Estéticien</t>
  </si>
  <si>
    <t>Foncier et/ou habitation</t>
  </si>
  <si>
    <t>Frais bancaire</t>
  </si>
  <si>
    <t>CREDITS</t>
  </si>
  <si>
    <t>Assurances</t>
  </si>
  <si>
    <t>ASSURRANCES</t>
  </si>
  <si>
    <t>IMPÔTS</t>
  </si>
  <si>
    <t>NOURRITURE</t>
  </si>
  <si>
    <t>Finances</t>
  </si>
  <si>
    <t>FINANCES</t>
  </si>
  <si>
    <t>ANIMAUX</t>
  </si>
  <si>
    <t>DONS</t>
  </si>
  <si>
    <t>Santé et hygiène</t>
  </si>
  <si>
    <t>SANTE ET HYGIENE</t>
  </si>
  <si>
    <t>FAMILLE</t>
  </si>
  <si>
    <r>
      <t xml:space="preserve">2 </t>
    </r>
    <r>
      <rPr>
        <i/>
        <sz val="20"/>
        <color rgb="FFF9BA32"/>
        <rFont val="Calibri"/>
        <family val="2"/>
      </rPr>
      <t>←</t>
    </r>
    <r>
      <rPr>
        <i/>
        <u/>
        <sz val="20"/>
        <color rgb="FFF9BA32"/>
        <rFont val="Calibri"/>
        <family val="2"/>
        <scheme val="major"/>
      </rPr>
      <t>Lisez-moi!</t>
    </r>
  </si>
  <si>
    <r>
      <t xml:space="preserve">Solde estimé
</t>
    </r>
    <r>
      <rPr>
        <sz val="14"/>
        <color rgb="FF32384D"/>
        <rFont val="Calibri"/>
        <family val="2"/>
        <scheme val="minor"/>
      </rPr>
      <t>(Revenu moins dépenses prévus)</t>
    </r>
  </si>
  <si>
    <r>
      <t xml:space="preserve">Solde réel
</t>
    </r>
    <r>
      <rPr>
        <sz val="14"/>
        <color rgb="FF32384D"/>
        <rFont val="Calibri"/>
        <family val="2"/>
        <scheme val="minor"/>
      </rPr>
      <t>(Revenu moins dépenses réels)</t>
    </r>
  </si>
  <si>
    <r>
      <t xml:space="preserve">Écart
</t>
    </r>
    <r>
      <rPr>
        <sz val="14"/>
        <color rgb="FF32384D"/>
        <rFont val="Calibri"/>
        <family val="2"/>
        <scheme val="minor"/>
      </rPr>
      <t>(Réel moins revenu estimé)</t>
    </r>
  </si>
  <si>
    <r>
      <rPr>
        <b/>
        <sz val="28"/>
        <color rgb="FFF9BA32"/>
        <rFont val="Wingdings"/>
        <charset val="2"/>
      </rPr>
      <t>?</t>
    </r>
    <r>
      <rPr>
        <b/>
        <sz val="28"/>
        <color rgb="FFF9BA32"/>
        <rFont val="Gill Sans MT"/>
        <family val="2"/>
      </rPr>
      <t xml:space="preserve"> SUIVI DU BUDGET MENSUEL</t>
    </r>
  </si>
  <si>
    <r>
      <rPr>
        <sz val="16"/>
        <color rgb="FFF9BA32"/>
        <rFont val="Calibri"/>
        <family val="2"/>
      </rPr>
      <t xml:space="preserve">                            ← </t>
    </r>
    <r>
      <rPr>
        <sz val="16"/>
        <color rgb="FFF9BA32"/>
        <rFont val="Calibri"/>
        <family val="2"/>
        <scheme val="minor"/>
      </rPr>
      <t xml:space="preserve">Cliquez sur le logo </t>
    </r>
    <r>
      <rPr>
        <sz val="16"/>
        <color rgb="FFF8F1E5"/>
        <rFont val="Calibri"/>
        <family val="2"/>
        <scheme val="minor"/>
      </rPr>
      <t>OU</t>
    </r>
    <r>
      <rPr>
        <sz val="16"/>
        <color rgb="FFF9BA32"/>
        <rFont val="Calibri"/>
        <family val="2"/>
        <scheme val="minor"/>
      </rPr>
      <t xml:space="preserve"> utiliser le code MAPR4118</t>
    </r>
  </si>
  <si>
    <r>
      <rPr>
        <sz val="16"/>
        <color rgb="FFF9BA32"/>
        <rFont val="Calibri"/>
        <family val="2"/>
      </rPr>
      <t xml:space="preserve">← </t>
    </r>
    <r>
      <rPr>
        <sz val="16"/>
        <color rgb="FFF9BA32"/>
        <rFont val="Calibri"/>
        <family val="2"/>
        <scheme val="minor"/>
      </rPr>
      <t xml:space="preserve">Cliquez sur le logo </t>
    </r>
    <r>
      <rPr>
        <sz val="16"/>
        <color rgb="FFF9BA32"/>
        <rFont val="Calibri"/>
        <family val="2"/>
      </rPr>
      <t>→</t>
    </r>
  </si>
  <si>
    <t>COMPARATEURS</t>
  </si>
  <si>
    <t xml:space="preserve">               ASSURANCE AUTOMOBILE</t>
  </si>
  <si>
    <t xml:space="preserve">               TELEPHONIE</t>
  </si>
  <si>
    <t xml:space="preserve">               BANQUE EN LIGNE</t>
  </si>
  <si>
    <t xml:space="preserve">               FOURNISSEUR D'ENERGIE</t>
  </si>
  <si>
    <r>
      <t xml:space="preserve">PARRAINAGE </t>
    </r>
    <r>
      <rPr>
        <sz val="12"/>
        <color rgb="FFF8F1E5"/>
        <rFont val="Calibri"/>
        <family val="2"/>
      </rPr>
      <t xml:space="preserve">→ </t>
    </r>
    <r>
      <rPr>
        <sz val="12"/>
        <color rgb="FFF8F1E5"/>
        <rFont val="Calibri"/>
        <family val="2"/>
        <scheme val="minor"/>
      </rPr>
      <t>BANQUE, ENERGIE, TELEPHONIE ET ASSURANCE</t>
    </r>
  </si>
  <si>
    <t xml:space="preserve">               INTERNET</t>
  </si>
  <si>
    <r>
      <t xml:space="preserve">Les parrainages et les comparateurs par </t>
    </r>
    <r>
      <rPr>
        <b/>
        <u/>
        <sz val="26"/>
        <color rgb="FFF9BA32"/>
        <rFont val="Times New Roman"/>
        <family val="1"/>
      </rPr>
      <t>MPM</t>
    </r>
  </si>
  <si>
    <t>“Qui n’économise pas un sou n’en aura jamais deux.”</t>
  </si>
  <si>
    <t>Proverbe modifié français</t>
  </si>
  <si>
    <t>Il n'y a pas de petites économies. Pour assainir vos comptes, vous devez étudier les offres en fonction de vos besoins. Ces quelques conseils vous permettront de réduire vos dépenses et ainsi investir les économies effectuées.</t>
  </si>
  <si>
    <t>“Avec une faucille d'argent, on moissonne des épis 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</si>
</sst>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0.00\ &quot;€&quot;;[Red]\-#,##0.00\ &quot;€&quot;"/>
    <numFmt numFmtId="164" formatCode="&quot;$&quot;#,##0.00_);[Red]\(&quot;$&quot;#,##0.00\)"/>
    <numFmt numFmtId="165" formatCode="&quot;$&quot;#,##0.00"/>
    <numFmt numFmtId="166" formatCode="[&lt;=9999999]###\-####;\(###\)\ ###\-####"/>
    <numFmt numFmtId="167" formatCode="#,##0.00\ &quot;€&quot;"/>
  </numFmts>
  <fonts count="68">
    <font>
      <sz val="10"/>
      <color theme="1" tint="0.24994659260841701"/>
      <name val="Calibri"/>
      <family val="2"/>
      <scheme val="minor"/>
    </font>
    <font>
      <sz val="11"/>
      <color theme="1"/>
      <name val="Calibri"/>
      <family val="2"/>
      <scheme val="minor"/>
    </font>
    <font>
      <sz val="10"/>
      <color theme="1" tint="0.24994659260841701"/>
      <name val="Calibri"/>
      <family val="2"/>
      <scheme val="major"/>
    </font>
    <font>
      <b/>
      <sz val="10"/>
      <color theme="1" tint="0.24994659260841701"/>
      <name val="Calibri"/>
      <family val="2"/>
      <scheme val="major"/>
    </font>
    <font>
      <sz val="22"/>
      <color theme="3" tint="0.24994659260841701"/>
      <name val="Calibri"/>
      <family val="2"/>
      <scheme val="major"/>
    </font>
    <font>
      <sz val="11"/>
      <color theme="0"/>
      <name val="Calibri"/>
      <family val="2"/>
      <scheme val="minor"/>
    </font>
    <font>
      <sz val="10"/>
      <color theme="0"/>
      <name val="Calibri"/>
      <family val="2"/>
      <scheme val="minor"/>
    </font>
    <font>
      <sz val="11"/>
      <color theme="4" tint="-0.499984740745262"/>
      <name val="Calibri"/>
      <family val="2"/>
      <scheme val="minor"/>
    </font>
    <font>
      <sz val="12"/>
      <color theme="1" tint="0.24994659260841701"/>
      <name val="Calibri"/>
      <family val="2"/>
      <scheme val="minor"/>
    </font>
    <font>
      <sz val="12"/>
      <color theme="1" tint="0.34998626667073579"/>
      <name val="Calibri"/>
      <family val="2"/>
      <scheme val="minor"/>
    </font>
    <font>
      <b/>
      <sz val="12"/>
      <color theme="1" tint="0.34998626667073579"/>
      <name val="Calibri"/>
      <family val="2"/>
      <scheme val="minor"/>
    </font>
    <font>
      <sz val="12"/>
      <color theme="0"/>
      <name val="Calibri"/>
      <family val="2"/>
      <scheme val="minor"/>
    </font>
    <font>
      <sz val="12"/>
      <name val="Calibri"/>
      <family val="2"/>
      <scheme val="minor"/>
    </font>
    <font>
      <b/>
      <sz val="20"/>
      <color theme="8"/>
      <name val="Calibri"/>
      <family val="2"/>
      <scheme val="major"/>
    </font>
    <font>
      <sz val="22"/>
      <color theme="3" tint="0.24994659260841701"/>
      <name val="Calibri"/>
      <family val="2"/>
      <scheme val="minor"/>
    </font>
    <font>
      <b/>
      <sz val="12"/>
      <name val="Calibri"/>
      <family val="2"/>
      <scheme val="minor"/>
    </font>
    <font>
      <sz val="10"/>
      <color theme="0"/>
      <name val="Calibri"/>
      <family val="2"/>
      <scheme val="major"/>
    </font>
    <font>
      <sz val="12"/>
      <color theme="1" tint="0.24994659260841701"/>
      <name val="Calibri"/>
      <family val="2"/>
      <scheme val="major"/>
    </font>
    <font>
      <sz val="11"/>
      <color rgb="FF555A3C"/>
      <name val="Calibri"/>
      <family val="2"/>
      <scheme val="major"/>
    </font>
    <font>
      <sz val="10"/>
      <color rgb="FF555A3C"/>
      <name val="Calibri"/>
      <family val="2"/>
      <scheme val="minor"/>
    </font>
    <font>
      <b/>
      <sz val="40"/>
      <color rgb="FF555A3C"/>
      <name val="Calibri"/>
      <family val="2"/>
      <scheme val="major"/>
    </font>
    <font>
      <b/>
      <sz val="20"/>
      <color rgb="FF555A3C"/>
      <name val="Calibri"/>
      <family val="2"/>
      <scheme val="major"/>
    </font>
    <font>
      <sz val="11"/>
      <color rgb="FF555A3C"/>
      <name val="Calibri"/>
      <family val="2"/>
      <scheme val="minor"/>
    </font>
    <font>
      <sz val="20"/>
      <color rgb="FF555A3C"/>
      <name val="Wingdings"/>
      <charset val="2"/>
    </font>
    <font>
      <sz val="8"/>
      <name val="Calibri"/>
      <family val="2"/>
      <scheme val="minor"/>
    </font>
    <font>
      <sz val="10"/>
      <color theme="1" tint="0.14993743705557422"/>
      <name val="Calibri"/>
      <family val="2"/>
      <scheme val="minor"/>
    </font>
    <font>
      <sz val="10"/>
      <color rgb="FFF7F7F7"/>
      <name val="Calibri"/>
      <family val="2"/>
      <scheme val="minor"/>
    </font>
    <font>
      <sz val="11"/>
      <color rgb="FFF7F7F7"/>
      <name val="Calibri"/>
      <family val="2"/>
    </font>
    <font>
      <sz val="11"/>
      <color theme="1" tint="0.14993743705557422"/>
      <name val="Calibri"/>
      <family val="2"/>
      <scheme val="major"/>
    </font>
    <font>
      <sz val="11"/>
      <color theme="1" tint="0.34998626667073579"/>
      <name val="Calibri"/>
      <family val="2"/>
      <scheme val="major"/>
    </font>
    <font>
      <b/>
      <sz val="10"/>
      <color theme="1" tint="0.14990691854609822"/>
      <name val="Calibri"/>
      <family val="2"/>
      <scheme val="major"/>
    </font>
    <font>
      <sz val="10"/>
      <color theme="4" tint="-0.499984740745262"/>
      <name val="Calibri"/>
      <family val="2"/>
      <scheme val="minor"/>
    </font>
    <font>
      <sz val="10"/>
      <color theme="5" tint="-0.499984740745262"/>
      <name val="Calibri"/>
      <family val="2"/>
      <scheme val="minor"/>
    </font>
    <font>
      <b/>
      <sz val="40"/>
      <color rgb="FFF9BA32"/>
      <name val="Calibri"/>
      <family val="2"/>
      <scheme val="major"/>
    </font>
    <font>
      <sz val="12"/>
      <color rgb="FFF8F1E5"/>
      <name val="Calibri"/>
      <family val="2"/>
      <scheme val="minor"/>
    </font>
    <font>
      <b/>
      <sz val="20"/>
      <color rgb="FFF9BA32"/>
      <name val="Calibri"/>
      <family val="2"/>
      <scheme val="major"/>
    </font>
    <font>
      <sz val="24"/>
      <color rgb="FFF9BA32"/>
      <name val="Wingdings"/>
      <charset val="2"/>
    </font>
    <font>
      <i/>
      <sz val="20"/>
      <color rgb="FFF9BA32"/>
      <name val="Calibri"/>
      <family val="2"/>
    </font>
    <font>
      <i/>
      <u/>
      <sz val="20"/>
      <color rgb="FFF9BA32"/>
      <name val="Calibri"/>
      <family val="2"/>
      <scheme val="major"/>
    </font>
    <font>
      <b/>
      <sz val="14"/>
      <color rgb="FF32384D"/>
      <name val="Calibri"/>
      <family val="2"/>
      <scheme val="minor"/>
    </font>
    <font>
      <sz val="12"/>
      <color rgb="FF32384D"/>
      <name val="Calibri"/>
      <family val="2"/>
      <scheme val="minor"/>
    </font>
    <font>
      <b/>
      <sz val="20"/>
      <color rgb="FF32384D"/>
      <name val="Calibri"/>
      <family val="2"/>
      <scheme val="minor"/>
    </font>
    <font>
      <sz val="10"/>
      <color rgb="FFF9BA32"/>
      <name val="Calibri"/>
      <family val="2"/>
      <scheme val="major"/>
    </font>
    <font>
      <sz val="20"/>
      <color rgb="FFF9BA32"/>
      <name val="Wingdings"/>
      <charset val="2"/>
    </font>
    <font>
      <b/>
      <sz val="14"/>
      <color rgb="FFF9BA32"/>
      <name val="Calibri"/>
      <family val="2"/>
      <scheme val="minor"/>
    </font>
    <font>
      <b/>
      <sz val="12"/>
      <color rgb="FFF9BA32"/>
      <name val="Calibri"/>
      <family val="2"/>
      <scheme val="minor"/>
    </font>
    <font>
      <sz val="12"/>
      <color rgb="FFF9BA32"/>
      <name val="Calibri"/>
      <family val="2"/>
      <scheme val="minor"/>
    </font>
    <font>
      <sz val="14"/>
      <color rgb="FF32384D"/>
      <name val="Calibri"/>
      <family val="2"/>
      <scheme val="minor"/>
    </font>
    <font>
      <i/>
      <sz val="18"/>
      <color rgb="FFF9BA32"/>
      <name val="Calibri"/>
      <family val="2"/>
      <scheme val="minor"/>
    </font>
    <font>
      <sz val="10"/>
      <color rgb="FFF9BA32"/>
      <name val="Calibri"/>
      <family val="2"/>
      <scheme val="minor"/>
    </font>
    <font>
      <sz val="11"/>
      <color rgb="FFF9BA32"/>
      <name val="Calibri"/>
      <family val="2"/>
      <scheme val="major"/>
    </font>
    <font>
      <i/>
      <sz val="11"/>
      <color rgb="FFF9BA32"/>
      <name val="Calibri"/>
      <family val="2"/>
      <scheme val="major"/>
    </font>
    <font>
      <i/>
      <sz val="12"/>
      <color rgb="FFF8F1E5"/>
      <name val="Calibri"/>
      <family val="2"/>
      <scheme val="major"/>
    </font>
    <font>
      <sz val="9"/>
      <color rgb="FFF8F1E5"/>
      <name val="Calibri"/>
      <family val="2"/>
      <scheme val="major"/>
    </font>
    <font>
      <b/>
      <sz val="12"/>
      <color rgb="FF32384D"/>
      <name val="Calibri"/>
      <family val="2"/>
      <scheme val="major"/>
    </font>
    <font>
      <sz val="10"/>
      <color rgb="FF32384D"/>
      <name val="Calibri"/>
      <family val="2"/>
      <scheme val="minor"/>
    </font>
    <font>
      <sz val="10"/>
      <color rgb="FFF8F1E5"/>
      <name val="Calibri"/>
      <family val="2"/>
      <scheme val="minor"/>
    </font>
    <font>
      <b/>
      <sz val="10"/>
      <color rgb="FFF9BA32"/>
      <name val="Calibri"/>
      <family val="2"/>
      <scheme val="minor"/>
    </font>
    <font>
      <b/>
      <sz val="28"/>
      <color rgb="FFF9BA32"/>
      <name val="Gill Sans MT"/>
      <family val="2"/>
      <charset val="2"/>
    </font>
    <font>
      <b/>
      <sz val="28"/>
      <color rgb="FFF9BA32"/>
      <name val="Wingdings"/>
      <charset val="2"/>
    </font>
    <font>
      <b/>
      <sz val="28"/>
      <color rgb="FFF9BA32"/>
      <name val="Gill Sans MT"/>
      <family val="2"/>
    </font>
    <font>
      <b/>
      <sz val="10"/>
      <color rgb="FFF9BA32"/>
      <name val="Calibri"/>
      <family val="2"/>
      <scheme val="major"/>
    </font>
    <font>
      <sz val="16"/>
      <color rgb="FFF9BA32"/>
      <name val="Calibri"/>
      <family val="2"/>
      <scheme val="minor"/>
    </font>
    <font>
      <sz val="16"/>
      <color rgb="FFF9BA32"/>
      <name val="Calibri"/>
      <family val="2"/>
    </font>
    <font>
      <sz val="16"/>
      <color rgb="FFF8F1E5"/>
      <name val="Calibri"/>
      <family val="2"/>
      <scheme val="minor"/>
    </font>
    <font>
      <sz val="12"/>
      <color rgb="FFF8F1E5"/>
      <name val="Calibri"/>
      <family val="2"/>
    </font>
    <font>
      <u/>
      <sz val="26"/>
      <color rgb="FFF9BA32"/>
      <name val="Times New Roman"/>
      <family val="1"/>
    </font>
    <font>
      <b/>
      <u/>
      <sz val="26"/>
      <color rgb="FFF9BA32"/>
      <name val="Times New Roman"/>
      <family val="1"/>
    </font>
  </fonts>
  <fills count="13">
    <fill>
      <patternFill patternType="none"/>
    </fill>
    <fill>
      <patternFill patternType="gray125"/>
    </fill>
    <fill>
      <patternFill patternType="solid">
        <fgColor theme="0"/>
        <bgColor indexed="64"/>
      </patternFill>
    </fill>
    <fill>
      <patternFill patternType="solid">
        <fgColor rgb="FFEDEEE6"/>
        <bgColor indexed="64"/>
      </patternFill>
    </fill>
    <fill>
      <patternFill patternType="solid">
        <fgColor rgb="FFF7F7F7"/>
        <bgColor indexed="64"/>
      </patternFill>
    </fill>
    <fill>
      <patternFill patternType="solid">
        <fgColor theme="0"/>
        <bgColor auto="1"/>
      </patternFill>
    </fill>
    <fill>
      <patternFill patternType="solid">
        <fgColor rgb="FF0070C0"/>
        <bgColor indexed="64"/>
      </patternFill>
    </fill>
    <fill>
      <patternFill patternType="solid">
        <fgColor rgb="FFC00000"/>
        <bgColor indexed="64"/>
      </patternFill>
    </fill>
    <fill>
      <patternFill patternType="solid">
        <fgColor rgb="FF32384D"/>
        <bgColor indexed="64"/>
      </patternFill>
    </fill>
    <fill>
      <patternFill patternType="solid">
        <fgColor rgb="FFF8F1E5"/>
        <bgColor indexed="64"/>
      </patternFill>
    </fill>
    <fill>
      <patternFill patternType="solid">
        <fgColor rgb="FFF9BA32"/>
        <bgColor indexed="64"/>
      </patternFill>
    </fill>
    <fill>
      <patternFill patternType="solid">
        <fgColor rgb="FFFAC858"/>
        <bgColor indexed="64"/>
      </patternFill>
    </fill>
    <fill>
      <patternFill patternType="solid">
        <fgColor rgb="FFFBD889"/>
        <bgColor indexed="64"/>
      </patternFill>
    </fill>
  </fills>
  <borders count="66">
    <border>
      <left/>
      <right/>
      <top/>
      <bottom/>
      <diagonal/>
    </border>
    <border>
      <left/>
      <right/>
      <top/>
      <bottom style="medium">
        <color theme="4" tint="-0.24994659260841701"/>
      </bottom>
      <diagonal/>
    </border>
    <border>
      <left/>
      <right/>
      <top/>
      <bottom style="thick">
        <color theme="4" tint="0.499984740745262"/>
      </bottom>
      <diagonal/>
    </border>
    <border>
      <left/>
      <right/>
      <top/>
      <bottom style="medium">
        <color theme="4" tint="0.39997558519241921"/>
      </bottom>
      <diagonal/>
    </border>
    <border>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diagonal/>
    </border>
    <border>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0691854609822"/>
      </left>
      <right style="thin">
        <color theme="0" tint="-0.14990691854609822"/>
      </right>
      <top style="thin">
        <color theme="0" tint="-0.14996795556505021"/>
      </top>
      <bottom style="thin">
        <color theme="0" tint="-0.14993743705557422"/>
      </bottom>
      <diagonal/>
    </border>
    <border>
      <left/>
      <right style="thin">
        <color theme="0" tint="-0.14990691854609822"/>
      </right>
      <top style="thin">
        <color theme="0" tint="-0.14996795556505021"/>
      </top>
      <bottom style="thin">
        <color theme="0" tint="-0.14993743705557422"/>
      </bottom>
      <diagonal/>
    </border>
    <border>
      <left style="thin">
        <color theme="0" tint="-0.14990691854609822"/>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thin">
        <color theme="0" tint="-0.14993743705557422"/>
      </left>
      <right/>
      <top style="thin">
        <color theme="0" tint="-0.14996795556505021"/>
      </top>
      <bottom style="thin">
        <color theme="0" tint="-0.14993743705557422"/>
      </bottom>
      <diagonal/>
    </border>
    <border>
      <left style="thin">
        <color theme="0" tint="-0.14990691854609822"/>
      </left>
      <right/>
      <top style="thin">
        <color theme="0" tint="-0.14996795556505021"/>
      </top>
      <bottom style="thin">
        <color theme="0" tint="-0.1498764000366222"/>
      </bottom>
      <diagonal/>
    </border>
    <border>
      <left style="thin">
        <color theme="0" tint="-0.14990691854609822"/>
      </left>
      <right style="thin">
        <color theme="0" tint="-0.14990691854609822"/>
      </right>
      <top style="thin">
        <color theme="0" tint="-0.14996795556505021"/>
      </top>
      <bottom style="thin">
        <color theme="0" tint="-0.1498764000366222"/>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6795556505021"/>
      </bottom>
      <diagonal/>
    </border>
    <border>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0691854609822"/>
      </right>
      <top style="thin">
        <color theme="0" tint="-0.14993743705557422"/>
      </top>
      <bottom style="thin">
        <color theme="0" tint="-0.14996795556505021"/>
      </bottom>
      <diagonal/>
    </border>
    <border>
      <left style="thin">
        <color theme="0" tint="-0.14996795556505021"/>
      </left>
      <right style="thin">
        <color theme="0" tint="-0.14990691854609822"/>
      </right>
      <top style="thin">
        <color theme="0" tint="-0.14996795556505021"/>
      </top>
      <bottom style="thin">
        <color theme="0" tint="-0.14996795556505021"/>
      </bottom>
      <diagonal/>
    </border>
    <border>
      <left style="thin">
        <color theme="0" tint="-0.14996795556505021"/>
      </left>
      <right style="thin">
        <color theme="0" tint="-0.14990691854609822"/>
      </right>
      <top style="thin">
        <color theme="0" tint="-0.14996795556505021"/>
      </top>
      <bottom style="thin">
        <color theme="0" tint="-0.14993743705557422"/>
      </bottom>
      <diagonal/>
    </border>
    <border>
      <left/>
      <right/>
      <top/>
      <bottom style="medium">
        <color rgb="FF0070C0"/>
      </bottom>
      <diagonal/>
    </border>
    <border>
      <left/>
      <right/>
      <top/>
      <bottom style="medium">
        <color rgb="FFC00000"/>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right style="thin">
        <color rgb="FFEDEEE6"/>
      </right>
      <top/>
      <bottom style="thin">
        <color rgb="FFEDEEE6"/>
      </bottom>
      <diagonal/>
    </border>
    <border>
      <left/>
      <right/>
      <top/>
      <bottom style="thin">
        <color rgb="FFEDEEE6"/>
      </bottom>
      <diagonal/>
    </border>
    <border>
      <left/>
      <right/>
      <top/>
      <bottom style="thick">
        <color rgb="FFC00000"/>
      </bottom>
      <diagonal/>
    </border>
    <border>
      <left style="thin">
        <color rgb="FFEDEEE6"/>
      </left>
      <right/>
      <top/>
      <bottom/>
      <diagonal/>
    </border>
    <border>
      <left style="thin">
        <color theme="0" tint="-0.14996795556505021"/>
      </left>
      <right/>
      <top/>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right/>
      <top/>
      <bottom style="thin">
        <color rgb="FFF9BA32"/>
      </bottom>
      <diagonal/>
    </border>
    <border>
      <left/>
      <right/>
      <top/>
      <bottom style="medium">
        <color rgb="FFF9BA32"/>
      </bottom>
      <diagonal/>
    </border>
    <border>
      <left style="thin">
        <color theme="0" tint="-0.14993743705557422"/>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6795556505021"/>
      </top>
      <bottom/>
      <diagonal/>
    </border>
    <border>
      <left style="thin">
        <color theme="0" tint="-0.14996795556505021"/>
      </left>
      <right style="thin">
        <color theme="0" tint="-0.14999847407452621"/>
      </right>
      <top style="thin">
        <color theme="0" tint="-0.14993743705557422"/>
      </top>
      <bottom style="thin">
        <color theme="0" tint="-0.14993743705557422"/>
      </bottom>
      <diagonal/>
    </border>
    <border>
      <left/>
      <right style="thin">
        <color theme="0" tint="-0.14996795556505021"/>
      </right>
      <top style="thin">
        <color theme="0" tint="-0.14999847407452621"/>
      </top>
      <bottom style="thin">
        <color theme="0" tint="-0.14996795556505021"/>
      </bottom>
      <diagonal/>
    </border>
    <border>
      <left style="thin">
        <color theme="0" tint="-0.14996795556505021"/>
      </left>
      <right style="thin">
        <color theme="0" tint="-0.14996795556505021"/>
      </right>
      <top style="thin">
        <color theme="0" tint="-0.14999847407452621"/>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s>
  <cellStyleXfs count="9">
    <xf numFmtId="0" fontId="0" fillId="0" borderId="0"/>
    <xf numFmtId="0" fontId="4" fillId="0" borderId="1" applyNumberFormat="0" applyFill="0" applyAlignment="0" applyProtection="0"/>
    <xf numFmtId="0" fontId="2" fillId="0" borderId="2" applyNumberFormat="0" applyFill="0" applyBorder="0" applyAlignment="0" applyProtection="0"/>
    <xf numFmtId="0" fontId="3" fillId="0" borderId="3" applyNumberFormat="0" applyFill="0" applyBorder="0" applyAlignment="0" applyProtection="0"/>
    <xf numFmtId="166" fontId="7" fillId="0" borderId="0" applyFont="0" applyFill="0" applyBorder="0" applyAlignment="0" applyProtection="0"/>
    <xf numFmtId="14" fontId="7" fillId="0" borderId="0" applyFont="0" applyFill="0" applyBorder="0" applyAlignment="0" applyProtection="0"/>
    <xf numFmtId="0" fontId="25" fillId="4" borderId="0">
      <alignment vertical="center"/>
    </xf>
    <xf numFmtId="0" fontId="28" fillId="0" borderId="1" applyNumberFormat="0" applyFill="0" applyProtection="0">
      <alignment vertical="center"/>
    </xf>
    <xf numFmtId="0" fontId="30" fillId="5" borderId="0" applyNumberFormat="0" applyProtection="0">
      <alignment horizontal="left" vertical="center" indent="1"/>
    </xf>
  </cellStyleXfs>
  <cellXfs count="255">
    <xf numFmtId="0" fontId="0" fillId="0" borderId="0" xfId="0"/>
    <xf numFmtId="0" fontId="1" fillId="3" borderId="0" xfId="0" applyFont="1" applyFill="1"/>
    <xf numFmtId="0" fontId="6" fillId="3" borderId="0" xfId="0" applyFont="1" applyFill="1"/>
    <xf numFmtId="0" fontId="0" fillId="3" borderId="0" xfId="0" applyFont="1" applyFill="1"/>
    <xf numFmtId="0" fontId="2" fillId="3" borderId="0" xfId="0" applyFont="1" applyFill="1"/>
    <xf numFmtId="0" fontId="1" fillId="0" borderId="0" xfId="0" applyFont="1" applyFill="1"/>
    <xf numFmtId="0" fontId="0" fillId="0" borderId="0" xfId="0" applyFont="1" applyFill="1"/>
    <xf numFmtId="0" fontId="2" fillId="0" borderId="0" xfId="0" applyFont="1" applyFill="1"/>
    <xf numFmtId="0" fontId="6" fillId="0" borderId="0" xfId="0" applyFont="1" applyFill="1"/>
    <xf numFmtId="0" fontId="26" fillId="3" borderId="0" xfId="6" applyFont="1" applyFill="1" applyAlignment="1">
      <alignment wrapText="1"/>
    </xf>
    <xf numFmtId="0" fontId="25" fillId="3" borderId="0" xfId="6" applyFill="1">
      <alignment vertical="center"/>
    </xf>
    <xf numFmtId="0" fontId="25" fillId="3" borderId="0" xfId="6" applyFill="1" applyAlignment="1">
      <alignment horizontal="right" vertical="center"/>
    </xf>
    <xf numFmtId="0" fontId="25" fillId="6" borderId="0" xfId="6" applyFill="1" applyBorder="1">
      <alignment vertical="center"/>
    </xf>
    <xf numFmtId="0" fontId="25" fillId="6" borderId="42" xfId="6" applyFill="1" applyBorder="1">
      <alignment vertical="center"/>
    </xf>
    <xf numFmtId="0" fontId="25" fillId="7" borderId="0" xfId="6" applyFill="1" applyBorder="1">
      <alignment vertical="center"/>
    </xf>
    <xf numFmtId="0" fontId="25" fillId="7" borderId="43" xfId="6" applyFill="1" applyBorder="1">
      <alignment vertical="center"/>
    </xf>
    <xf numFmtId="0" fontId="0" fillId="2" borderId="0" xfId="0" applyFont="1" applyFill="1"/>
    <xf numFmtId="0" fontId="0" fillId="2" borderId="0" xfId="0" applyFont="1" applyFill="1" applyProtection="1"/>
    <xf numFmtId="0" fontId="6" fillId="2" borderId="0" xfId="0" applyFont="1" applyFill="1"/>
    <xf numFmtId="0" fontId="25" fillId="7" borderId="53" xfId="6" applyFill="1" applyBorder="1">
      <alignment vertical="center"/>
    </xf>
    <xf numFmtId="0" fontId="26" fillId="2" borderId="0" xfId="6" applyFont="1" applyFill="1" applyAlignment="1">
      <alignment wrapText="1"/>
    </xf>
    <xf numFmtId="0" fontId="25" fillId="2" borderId="0" xfId="6" applyFill="1">
      <alignment vertical="center"/>
    </xf>
    <xf numFmtId="0" fontId="25" fillId="2" borderId="0" xfId="6" applyFill="1" applyAlignment="1">
      <alignment horizontal="right" vertical="center"/>
    </xf>
    <xf numFmtId="0" fontId="22" fillId="8" borderId="0" xfId="0" applyFont="1" applyFill="1" applyProtection="1"/>
    <xf numFmtId="0" fontId="1" fillId="8" borderId="0" xfId="0" applyFont="1" applyFill="1" applyProtection="1"/>
    <xf numFmtId="0" fontId="5" fillId="8" borderId="0" xfId="0" applyFont="1" applyFill="1" applyAlignment="1" applyProtection="1">
      <alignment wrapText="1"/>
    </xf>
    <xf numFmtId="0" fontId="20" fillId="8" borderId="0" xfId="0" applyFont="1" applyFill="1" applyAlignment="1" applyProtection="1">
      <alignment vertical="center" wrapText="1"/>
    </xf>
    <xf numFmtId="0" fontId="14" fillId="8" borderId="0" xfId="1" applyFont="1" applyFill="1" applyBorder="1" applyProtection="1"/>
    <xf numFmtId="0" fontId="6" fillId="8" borderId="0" xfId="0" applyFont="1" applyFill="1" applyProtection="1"/>
    <xf numFmtId="0" fontId="0" fillId="8" borderId="0" xfId="0" applyFont="1" applyFill="1" applyProtection="1"/>
    <xf numFmtId="0" fontId="0" fillId="8" borderId="0" xfId="2" applyFont="1" applyFill="1" applyBorder="1" applyAlignment="1" applyProtection="1">
      <alignment vertical="center"/>
    </xf>
    <xf numFmtId="0" fontId="12" fillId="8" borderId="0" xfId="2" applyFont="1" applyFill="1" applyBorder="1" applyAlignment="1" applyProtection="1">
      <alignment vertical="center"/>
    </xf>
    <xf numFmtId="164" fontId="15" fillId="8" borderId="0" xfId="0" applyNumberFormat="1" applyFont="1" applyFill="1" applyBorder="1" applyAlignment="1" applyProtection="1">
      <alignment vertical="center"/>
    </xf>
    <xf numFmtId="0" fontId="21" fillId="8" borderId="0" xfId="3" applyFont="1" applyFill="1" applyBorder="1" applyAlignment="1" applyProtection="1">
      <alignment horizontal="left" vertical="center" indent="1"/>
    </xf>
    <xf numFmtId="0" fontId="8" fillId="8" borderId="0" xfId="0" applyFont="1" applyFill="1" applyBorder="1" applyProtection="1"/>
    <xf numFmtId="0" fontId="0" fillId="8" borderId="0" xfId="0" applyFont="1" applyFill="1" applyBorder="1" applyProtection="1"/>
    <xf numFmtId="0" fontId="16" fillId="8" borderId="0" xfId="0" applyFont="1" applyFill="1" applyProtection="1"/>
    <xf numFmtId="0" fontId="17" fillId="8" borderId="0" xfId="0" applyFont="1" applyFill="1" applyBorder="1" applyProtection="1"/>
    <xf numFmtId="0" fontId="2" fillId="8" borderId="0" xfId="0" applyFont="1" applyFill="1"/>
    <xf numFmtId="0" fontId="2" fillId="8" borderId="0" xfId="0" applyFont="1" applyFill="1" applyProtection="1"/>
    <xf numFmtId="0" fontId="0" fillId="8" borderId="0" xfId="0" applyFont="1" applyFill="1"/>
    <xf numFmtId="0" fontId="8" fillId="8" borderId="0" xfId="0" applyFont="1" applyFill="1" applyProtection="1"/>
    <xf numFmtId="0" fontId="17" fillId="8" borderId="0" xfId="0" applyFont="1" applyFill="1" applyProtection="1"/>
    <xf numFmtId="0" fontId="10" fillId="8" borderId="0" xfId="0" applyFont="1" applyFill="1" applyBorder="1" applyAlignment="1" applyProtection="1">
      <alignment horizontal="left" vertical="center" indent="1"/>
    </xf>
    <xf numFmtId="165" fontId="9" fillId="8" borderId="0" xfId="0" applyNumberFormat="1" applyFont="1" applyFill="1" applyBorder="1" applyAlignment="1" applyProtection="1">
      <alignment horizontal="left" vertical="center"/>
    </xf>
    <xf numFmtId="165" fontId="9" fillId="8" borderId="0" xfId="0" applyNumberFormat="1" applyFont="1" applyFill="1" applyBorder="1" applyAlignment="1" applyProtection="1">
      <alignment horizontal="center" vertical="center"/>
    </xf>
    <xf numFmtId="0" fontId="6" fillId="8" borderId="0" xfId="0" applyFont="1" applyFill="1"/>
    <xf numFmtId="0" fontId="6" fillId="8" borderId="52" xfId="0" applyFont="1" applyFill="1" applyBorder="1"/>
    <xf numFmtId="0" fontId="0" fillId="8" borderId="52" xfId="0" applyFont="1" applyFill="1" applyBorder="1"/>
    <xf numFmtId="0" fontId="0" fillId="8" borderId="51" xfId="0" applyFont="1" applyFill="1" applyBorder="1"/>
    <xf numFmtId="0" fontId="36" fillId="8" borderId="0" xfId="0" applyFont="1" applyFill="1" applyAlignment="1" applyProtection="1">
      <alignment horizontal="left" vertical="center"/>
      <protection locked="0"/>
    </xf>
    <xf numFmtId="0" fontId="13" fillId="8" borderId="57" xfId="0" applyFont="1" applyFill="1" applyBorder="1" applyAlignment="1" applyProtection="1">
      <alignment horizontal="left" vertical="center" indent="1"/>
    </xf>
    <xf numFmtId="0" fontId="23" fillId="8" borderId="57" xfId="0" applyFont="1" applyFill="1" applyBorder="1" applyAlignment="1" applyProtection="1">
      <alignment horizontal="right" vertical="center"/>
    </xf>
    <xf numFmtId="0" fontId="21" fillId="8" borderId="57" xfId="0" applyFont="1" applyFill="1" applyBorder="1" applyAlignment="1" applyProtection="1">
      <alignment horizontal="left" vertical="center" indent="1"/>
    </xf>
    <xf numFmtId="0" fontId="21" fillId="8" borderId="57" xfId="0" applyFont="1" applyFill="1" applyBorder="1" applyAlignment="1" applyProtection="1">
      <alignment vertical="center"/>
    </xf>
    <xf numFmtId="0" fontId="39" fillId="8" borderId="4" xfId="0" applyFont="1" applyFill="1" applyBorder="1" applyAlignment="1" applyProtection="1">
      <alignment horizontal="left" vertical="center" indent="1"/>
    </xf>
    <xf numFmtId="0" fontId="39" fillId="8" borderId="4" xfId="0" applyFont="1" applyFill="1" applyBorder="1" applyAlignment="1" applyProtection="1">
      <alignment horizontal="center" vertical="center"/>
    </xf>
    <xf numFmtId="0" fontId="40" fillId="8" borderId="4" xfId="0" applyFont="1" applyFill="1" applyBorder="1" applyAlignment="1" applyProtection="1">
      <alignment horizontal="left" vertical="center" indent="1"/>
    </xf>
    <xf numFmtId="0" fontId="41" fillId="8" borderId="4" xfId="0" applyFont="1" applyFill="1" applyBorder="1" applyAlignment="1" applyProtection="1">
      <alignment horizontal="left" vertical="center" indent="1"/>
    </xf>
    <xf numFmtId="0" fontId="39" fillId="8" borderId="4" xfId="0" applyFont="1" applyFill="1" applyBorder="1" applyAlignment="1" applyProtection="1">
      <alignment vertical="center"/>
    </xf>
    <xf numFmtId="0" fontId="35" fillId="8" borderId="57" xfId="2" applyFont="1" applyFill="1" applyBorder="1" applyAlignment="1" applyProtection="1">
      <alignment horizontal="left" vertical="center" indent="1"/>
    </xf>
    <xf numFmtId="0" fontId="35" fillId="8" borderId="57" xfId="0" applyFont="1" applyFill="1" applyBorder="1" applyAlignment="1" applyProtection="1">
      <alignment horizontal="left" vertical="center" indent="1"/>
    </xf>
    <xf numFmtId="0" fontId="42" fillId="8" borderId="57" xfId="0" applyFont="1" applyFill="1" applyBorder="1" applyAlignment="1" applyProtection="1">
      <alignment horizontal="left" vertical="center" indent="1"/>
    </xf>
    <xf numFmtId="0" fontId="43" fillId="8" borderId="57" xfId="0" applyFont="1" applyFill="1" applyBorder="1" applyAlignment="1" applyProtection="1">
      <alignment horizontal="right" vertical="center"/>
    </xf>
    <xf numFmtId="0" fontId="35" fillId="8" borderId="57" xfId="0" applyFont="1" applyFill="1" applyBorder="1" applyAlignment="1" applyProtection="1">
      <alignment vertical="center"/>
    </xf>
    <xf numFmtId="0" fontId="44" fillId="8" borderId="4" xfId="0" applyFont="1" applyFill="1" applyBorder="1" applyAlignment="1" applyProtection="1">
      <alignment horizontal="center" vertical="center" wrapText="1"/>
    </xf>
    <xf numFmtId="0" fontId="44" fillId="8" borderId="4" xfId="0" applyFont="1" applyFill="1" applyBorder="1" applyAlignment="1" applyProtection="1">
      <alignment horizontal="center" vertical="center"/>
    </xf>
    <xf numFmtId="0" fontId="34" fillId="8" borderId="5" xfId="0" applyFont="1" applyFill="1" applyBorder="1" applyAlignment="1" applyProtection="1">
      <alignment horizontal="left" vertical="center" indent="1"/>
    </xf>
    <xf numFmtId="167" fontId="34" fillId="8" borderId="7" xfId="0" applyNumberFormat="1" applyFont="1" applyFill="1" applyBorder="1" applyAlignment="1" applyProtection="1">
      <alignment horizontal="center" vertical="center"/>
    </xf>
    <xf numFmtId="0" fontId="34" fillId="8" borderId="15" xfId="0" applyFont="1" applyFill="1" applyBorder="1" applyAlignment="1" applyProtection="1">
      <alignment horizontal="left" vertical="center" indent="1"/>
    </xf>
    <xf numFmtId="0" fontId="44" fillId="8" borderId="35" xfId="0" applyFont="1" applyFill="1" applyBorder="1" applyAlignment="1">
      <alignment horizontal="left" vertical="center" indent="1"/>
    </xf>
    <xf numFmtId="167" fontId="45" fillId="8" borderId="36" xfId="0" applyNumberFormat="1" applyFont="1" applyFill="1" applyBorder="1" applyAlignment="1">
      <alignment horizontal="center" vertical="center"/>
    </xf>
    <xf numFmtId="167" fontId="45" fillId="8" borderId="37" xfId="0" applyNumberFormat="1" applyFont="1" applyFill="1" applyBorder="1" applyAlignment="1">
      <alignment horizontal="center" vertical="center"/>
    </xf>
    <xf numFmtId="0" fontId="44" fillId="8" borderId="15" xfId="0" applyFont="1" applyFill="1" applyBorder="1" applyAlignment="1" applyProtection="1">
      <alignment horizontal="left" vertical="center" indent="1"/>
    </xf>
    <xf numFmtId="167" fontId="46" fillId="8" borderId="16" xfId="0" applyNumberFormat="1" applyFont="1" applyFill="1" applyBorder="1" applyAlignment="1" applyProtection="1">
      <alignment horizontal="center" vertical="center"/>
    </xf>
    <xf numFmtId="167" fontId="45" fillId="8" borderId="17" xfId="0" applyNumberFormat="1" applyFont="1" applyFill="1" applyBorder="1" applyAlignment="1" applyProtection="1">
      <alignment horizontal="center" vertical="center"/>
    </xf>
    <xf numFmtId="167" fontId="45" fillId="8" borderId="16" xfId="0" applyNumberFormat="1" applyFont="1" applyFill="1" applyBorder="1" applyAlignment="1" applyProtection="1">
      <alignment horizontal="center" vertical="center"/>
    </xf>
    <xf numFmtId="0" fontId="44" fillId="8" borderId="22" xfId="0" applyFont="1" applyFill="1" applyBorder="1" applyAlignment="1">
      <alignment horizontal="left" vertical="center" indent="1"/>
    </xf>
    <xf numFmtId="167" fontId="45" fillId="8" borderId="18" xfId="0" applyNumberFormat="1" applyFont="1" applyFill="1" applyBorder="1" applyAlignment="1">
      <alignment horizontal="center" vertical="center"/>
    </xf>
    <xf numFmtId="167" fontId="45" fillId="8" borderId="23" xfId="0" applyNumberFormat="1" applyFont="1" applyFill="1" applyBorder="1" applyAlignment="1">
      <alignment horizontal="center" vertical="center"/>
    </xf>
    <xf numFmtId="0" fontId="44" fillId="8" borderId="20" xfId="0" applyFont="1" applyFill="1" applyBorder="1" applyAlignment="1" applyProtection="1">
      <alignment horizontal="left" vertical="center" indent="1"/>
    </xf>
    <xf numFmtId="167" fontId="45" fillId="8" borderId="19" xfId="0" applyNumberFormat="1" applyFont="1" applyFill="1" applyBorder="1" applyAlignment="1" applyProtection="1">
      <alignment horizontal="center" vertical="center"/>
    </xf>
    <xf numFmtId="167" fontId="45" fillId="8" borderId="21" xfId="0" applyNumberFormat="1" applyFont="1" applyFill="1" applyBorder="1" applyAlignment="1" applyProtection="1">
      <alignment horizontal="center" vertical="center"/>
    </xf>
    <xf numFmtId="0" fontId="44" fillId="8" borderId="20" xfId="0" applyFont="1" applyFill="1" applyBorder="1" applyAlignment="1">
      <alignment horizontal="left" vertical="center" indent="1"/>
    </xf>
    <xf numFmtId="167" fontId="45" fillId="8" borderId="25" xfId="0" applyNumberFormat="1" applyFont="1" applyFill="1" applyBorder="1" applyAlignment="1">
      <alignment horizontal="center" vertical="center"/>
    </xf>
    <xf numFmtId="167" fontId="45" fillId="8" borderId="24" xfId="0" applyNumberFormat="1" applyFont="1" applyFill="1" applyBorder="1" applyAlignment="1">
      <alignment horizontal="center" vertical="center"/>
    </xf>
    <xf numFmtId="0" fontId="44" fillId="8" borderId="26" xfId="0" applyFont="1" applyFill="1" applyBorder="1" applyAlignment="1">
      <alignment horizontal="left" vertical="center" indent="1"/>
    </xf>
    <xf numFmtId="167" fontId="45" fillId="8" borderId="27" xfId="0" applyNumberFormat="1" applyFont="1" applyFill="1" applyBorder="1" applyAlignment="1">
      <alignment horizontal="center" vertical="center"/>
    </xf>
    <xf numFmtId="167" fontId="45" fillId="8" borderId="28" xfId="0" applyNumberFormat="1" applyFont="1" applyFill="1" applyBorder="1" applyAlignment="1">
      <alignment horizontal="center" vertical="center"/>
    </xf>
    <xf numFmtId="8" fontId="45" fillId="8" borderId="7" xfId="0" applyNumberFormat="1" applyFont="1" applyFill="1" applyBorder="1" applyAlignment="1" applyProtection="1">
      <alignment horizontal="center" vertical="center"/>
    </xf>
    <xf numFmtId="8" fontId="40" fillId="9" borderId="13" xfId="0" applyNumberFormat="1" applyFont="1" applyFill="1" applyBorder="1" applyAlignment="1" applyProtection="1">
      <alignment horizontal="center" vertical="center"/>
      <protection locked="0"/>
    </xf>
    <xf numFmtId="8" fontId="40" fillId="9" borderId="7" xfId="0" applyNumberFormat="1" applyFont="1" applyFill="1" applyBorder="1" applyAlignment="1" applyProtection="1">
      <alignment horizontal="center" vertical="center"/>
      <protection locked="0"/>
    </xf>
    <xf numFmtId="0" fontId="34" fillId="8" borderId="29" xfId="0" applyFont="1" applyFill="1" applyBorder="1" applyAlignment="1" applyProtection="1">
      <alignment horizontal="left" vertical="center" indent="1"/>
    </xf>
    <xf numFmtId="167" fontId="34" fillId="8" borderId="31" xfId="0" applyNumberFormat="1" applyFont="1" applyFill="1" applyBorder="1" applyAlignment="1" applyProtection="1">
      <alignment horizontal="center" vertical="center"/>
    </xf>
    <xf numFmtId="0" fontId="34" fillId="8" borderId="8" xfId="0" applyFont="1" applyFill="1" applyBorder="1" applyAlignment="1" applyProtection="1">
      <alignment horizontal="left" vertical="center" indent="1"/>
    </xf>
    <xf numFmtId="167" fontId="34" fillId="8" borderId="10" xfId="0" applyNumberFormat="1" applyFont="1" applyFill="1" applyBorder="1" applyAlignment="1" applyProtection="1">
      <alignment horizontal="center" vertical="center"/>
    </xf>
    <xf numFmtId="0" fontId="34" fillId="8" borderId="8" xfId="0" applyFont="1" applyFill="1" applyBorder="1" applyAlignment="1" applyProtection="1">
      <alignment horizontal="left" vertical="center" wrapText="1" indent="1"/>
    </xf>
    <xf numFmtId="0" fontId="34" fillId="8" borderId="11" xfId="0" applyFont="1" applyFill="1" applyBorder="1" applyAlignment="1">
      <alignment horizontal="left" vertical="center" indent="1"/>
    </xf>
    <xf numFmtId="167" fontId="40" fillId="9" borderId="30" xfId="0" applyNumberFormat="1" applyFont="1" applyFill="1" applyBorder="1" applyAlignment="1" applyProtection="1">
      <alignment horizontal="center" vertical="center"/>
      <protection locked="0"/>
    </xf>
    <xf numFmtId="167" fontId="40" fillId="9" borderId="9" xfId="0" applyNumberFormat="1" applyFont="1" applyFill="1" applyBorder="1" applyAlignment="1" applyProtection="1">
      <alignment horizontal="center" vertical="center"/>
      <protection locked="0"/>
    </xf>
    <xf numFmtId="167" fontId="40" fillId="9" borderId="6" xfId="0" applyNumberFormat="1" applyFont="1" applyFill="1" applyBorder="1" applyAlignment="1" applyProtection="1">
      <alignment horizontal="center" vertical="center"/>
      <protection locked="0"/>
    </xf>
    <xf numFmtId="167" fontId="40" fillId="9" borderId="34" xfId="0" applyNumberFormat="1" applyFont="1" applyFill="1" applyBorder="1" applyAlignment="1" applyProtection="1">
      <alignment horizontal="center" vertical="center"/>
      <protection locked="0"/>
    </xf>
    <xf numFmtId="167" fontId="40" fillId="9" borderId="6" xfId="0" applyNumberFormat="1" applyFont="1" applyFill="1" applyBorder="1" applyAlignment="1">
      <alignment horizontal="center" vertical="center"/>
    </xf>
    <xf numFmtId="167" fontId="40" fillId="9" borderId="45" xfId="0" applyNumberFormat="1" applyFont="1" applyFill="1" applyBorder="1" applyAlignment="1" applyProtection="1">
      <alignment horizontal="center" vertical="center"/>
      <protection locked="0"/>
    </xf>
    <xf numFmtId="167" fontId="40" fillId="9" borderId="46" xfId="0" applyNumberFormat="1" applyFont="1" applyFill="1" applyBorder="1" applyAlignment="1" applyProtection="1">
      <alignment horizontal="center" vertical="center"/>
      <protection locked="0"/>
    </xf>
    <xf numFmtId="167" fontId="40" fillId="9" borderId="47" xfId="0" applyNumberFormat="1" applyFont="1" applyFill="1" applyBorder="1" applyAlignment="1">
      <alignment horizontal="center" vertical="center"/>
    </xf>
    <xf numFmtId="167" fontId="40" fillId="9" borderId="48" xfId="0" applyNumberFormat="1" applyFont="1" applyFill="1" applyBorder="1" applyAlignment="1">
      <alignment horizontal="center" vertical="center"/>
    </xf>
    <xf numFmtId="167" fontId="40" fillId="9" borderId="47" xfId="0" applyNumberFormat="1" applyFont="1" applyFill="1" applyBorder="1" applyAlignment="1" applyProtection="1">
      <alignment horizontal="center" vertical="center"/>
      <protection locked="0"/>
    </xf>
    <xf numFmtId="167" fontId="40" fillId="9" borderId="48" xfId="0" applyNumberFormat="1" applyFont="1" applyFill="1" applyBorder="1" applyAlignment="1" applyProtection="1">
      <alignment horizontal="center" vertical="center"/>
      <protection locked="0"/>
    </xf>
    <xf numFmtId="167" fontId="40" fillId="9" borderId="49" xfId="0" applyNumberFormat="1" applyFont="1" applyFill="1" applyBorder="1" applyAlignment="1" applyProtection="1">
      <alignment horizontal="center" vertical="center"/>
      <protection locked="0"/>
    </xf>
    <xf numFmtId="167" fontId="40" fillId="9" borderId="50" xfId="0" applyNumberFormat="1" applyFont="1" applyFill="1" applyBorder="1" applyAlignment="1" applyProtection="1">
      <alignment horizontal="center" vertical="center"/>
      <protection locked="0"/>
    </xf>
    <xf numFmtId="167" fontId="40" fillId="9" borderId="14" xfId="0" applyNumberFormat="1" applyFont="1" applyFill="1" applyBorder="1" applyAlignment="1" applyProtection="1">
      <alignment horizontal="center" vertical="center"/>
      <protection locked="0"/>
    </xf>
    <xf numFmtId="167" fontId="34" fillId="8" borderId="13" xfId="0" applyNumberFormat="1" applyFont="1" applyFill="1" applyBorder="1" applyAlignment="1" applyProtection="1">
      <alignment horizontal="center" vertical="center"/>
    </xf>
    <xf numFmtId="0" fontId="34" fillId="8" borderId="12" xfId="0" applyFont="1" applyFill="1" applyBorder="1" applyAlignment="1" applyProtection="1">
      <alignment horizontal="left" vertical="center" indent="1"/>
    </xf>
    <xf numFmtId="167" fontId="34" fillId="8" borderId="33" xfId="0" applyNumberFormat="1" applyFont="1" applyFill="1" applyBorder="1" applyAlignment="1" applyProtection="1">
      <alignment horizontal="center" vertical="center"/>
    </xf>
    <xf numFmtId="0" fontId="34" fillId="8" borderId="32" xfId="0" applyFont="1" applyFill="1" applyBorder="1" applyAlignment="1" applyProtection="1">
      <alignment horizontal="left" vertical="center" indent="1"/>
    </xf>
    <xf numFmtId="0" fontId="34" fillId="8" borderId="5" xfId="0" applyFont="1" applyFill="1" applyBorder="1" applyAlignment="1">
      <alignment horizontal="left" vertical="center" indent="1"/>
    </xf>
    <xf numFmtId="167" fontId="34" fillId="8" borderId="7" xfId="0" applyNumberFormat="1" applyFont="1" applyFill="1" applyBorder="1" applyAlignment="1">
      <alignment horizontal="center" vertical="center"/>
    </xf>
    <xf numFmtId="0" fontId="48" fillId="8" borderId="0" xfId="0" applyFont="1" applyFill="1" applyBorder="1" applyAlignment="1" applyProtection="1">
      <alignment horizontal="center" vertical="center"/>
    </xf>
    <xf numFmtId="0" fontId="46" fillId="8" borderId="0" xfId="0" applyFont="1" applyFill="1" applyBorder="1" applyAlignment="1" applyProtection="1">
      <alignment horizontal="left" vertical="center" indent="1"/>
    </xf>
    <xf numFmtId="167" fontId="46" fillId="8" borderId="0" xfId="0" applyNumberFormat="1" applyFont="1" applyFill="1" applyBorder="1" applyAlignment="1" applyProtection="1">
      <alignment horizontal="center" vertical="center"/>
    </xf>
    <xf numFmtId="0" fontId="42" fillId="8" borderId="0" xfId="0" applyFont="1" applyFill="1" applyAlignment="1" applyProtection="1">
      <alignment horizontal="right" vertical="center"/>
    </xf>
    <xf numFmtId="0" fontId="26" fillId="8" borderId="0" xfId="6" applyFont="1" applyFill="1" applyAlignment="1">
      <alignment wrapText="1"/>
    </xf>
    <xf numFmtId="0" fontId="25" fillId="8" borderId="0" xfId="6" applyFill="1">
      <alignment vertical="center"/>
    </xf>
    <xf numFmtId="0" fontId="25" fillId="8" borderId="0" xfId="6" applyFill="1" applyAlignment="1">
      <alignment horizontal="right" vertical="center"/>
    </xf>
    <xf numFmtId="0" fontId="25" fillId="8" borderId="0" xfId="6" applyFill="1" applyBorder="1" applyAlignment="1">
      <alignment horizontal="right" vertical="center"/>
    </xf>
    <xf numFmtId="0" fontId="25" fillId="8" borderId="0" xfId="6" applyFill="1" applyBorder="1">
      <alignment vertical="center"/>
    </xf>
    <xf numFmtId="0" fontId="27" fillId="8" borderId="0" xfId="6" applyFont="1" applyFill="1" applyAlignment="1">
      <alignment vertical="center" wrapText="1"/>
    </xf>
    <xf numFmtId="0" fontId="18" fillId="8" borderId="0" xfId="7" applyFont="1" applyFill="1" applyBorder="1" applyAlignment="1">
      <alignment horizontal="right" vertical="center"/>
    </xf>
    <xf numFmtId="167" fontId="31" fillId="8" borderId="0" xfId="6" applyNumberFormat="1" applyFont="1" applyFill="1" applyBorder="1" applyAlignment="1">
      <alignment horizontal="right" vertical="center"/>
    </xf>
    <xf numFmtId="0" fontId="31" fillId="8" borderId="42" xfId="0" applyNumberFormat="1" applyFont="1" applyFill="1" applyBorder="1" applyAlignment="1" applyProtection="1">
      <alignment horizontal="right" vertical="center"/>
    </xf>
    <xf numFmtId="0" fontId="29" fillId="8" borderId="0" xfId="7" applyFont="1" applyFill="1" applyBorder="1" applyAlignment="1">
      <alignment horizontal="right" vertical="center"/>
    </xf>
    <xf numFmtId="167" fontId="32" fillId="8" borderId="0" xfId="6" applyNumberFormat="1" applyFont="1" applyFill="1" applyBorder="1" applyAlignment="1">
      <alignment horizontal="right" vertical="center"/>
    </xf>
    <xf numFmtId="0" fontId="26" fillId="8" borderId="0" xfId="6" applyFont="1" applyFill="1" applyAlignment="1">
      <alignment vertical="center" wrapText="1"/>
    </xf>
    <xf numFmtId="0" fontId="32" fillId="8" borderId="43" xfId="0" applyNumberFormat="1" applyFont="1" applyFill="1" applyBorder="1" applyAlignment="1" applyProtection="1">
      <alignment horizontal="right" vertical="center"/>
    </xf>
    <xf numFmtId="167" fontId="19" fillId="8" borderId="0" xfId="6" applyNumberFormat="1" applyFont="1" applyFill="1" applyBorder="1" applyAlignment="1">
      <alignment horizontal="right" vertical="center"/>
    </xf>
    <xf numFmtId="0" fontId="19" fillId="8" borderId="0" xfId="0" applyNumberFormat="1" applyFont="1" applyFill="1" applyBorder="1" applyAlignment="1" applyProtection="1">
      <alignment horizontal="right" vertical="center"/>
    </xf>
    <xf numFmtId="0" fontId="19" fillId="8" borderId="53" xfId="0" applyNumberFormat="1" applyFont="1" applyFill="1" applyBorder="1" applyAlignment="1" applyProtection="1">
      <alignment horizontal="right" vertical="center"/>
    </xf>
    <xf numFmtId="167" fontId="19" fillId="8" borderId="0" xfId="6" applyNumberFormat="1" applyFont="1" applyFill="1" applyAlignment="1">
      <alignment horizontal="right" vertical="center"/>
    </xf>
    <xf numFmtId="0" fontId="19" fillId="8" borderId="0" xfId="6" applyFont="1" applyFill="1" applyBorder="1" applyAlignment="1">
      <alignment horizontal="left" vertical="center" indent="1"/>
    </xf>
    <xf numFmtId="0" fontId="19" fillId="8" borderId="0" xfId="6" applyFont="1" applyFill="1" applyBorder="1" applyAlignment="1">
      <alignment horizontal="right" vertical="center"/>
    </xf>
    <xf numFmtId="167" fontId="11" fillId="8" borderId="0" xfId="6" applyNumberFormat="1" applyFont="1" applyFill="1" applyAlignment="1">
      <alignment horizontal="right" vertical="center"/>
    </xf>
    <xf numFmtId="0" fontId="6" fillId="8" borderId="0" xfId="6" applyFont="1" applyFill="1">
      <alignment vertical="center"/>
    </xf>
    <xf numFmtId="0" fontId="54" fillId="10" borderId="0" xfId="8" applyFont="1" applyFill="1">
      <alignment horizontal="left" vertical="center" indent="1"/>
    </xf>
    <xf numFmtId="0" fontId="54" fillId="10" borderId="0" xfId="8" applyFont="1" applyFill="1" applyAlignment="1">
      <alignment horizontal="center" vertical="center"/>
    </xf>
    <xf numFmtId="0" fontId="40" fillId="11" borderId="0" xfId="6" applyFont="1" applyFill="1" applyAlignment="1">
      <alignment horizontal="left" vertical="center" indent="1"/>
    </xf>
    <xf numFmtId="167" fontId="40" fillId="11" borderId="0" xfId="6" applyNumberFormat="1" applyFont="1" applyFill="1" applyAlignment="1">
      <alignment horizontal="center" vertical="center"/>
    </xf>
    <xf numFmtId="0" fontId="40" fillId="12" borderId="0" xfId="6" applyFont="1" applyFill="1" applyAlignment="1">
      <alignment horizontal="left" vertical="center" indent="1"/>
    </xf>
    <xf numFmtId="167" fontId="40" fillId="12" borderId="0" xfId="6" applyNumberFormat="1" applyFont="1" applyFill="1" applyAlignment="1">
      <alignment horizontal="center" vertical="center"/>
    </xf>
    <xf numFmtId="0" fontId="54" fillId="8" borderId="0" xfId="8" applyFont="1" applyFill="1">
      <alignment horizontal="left" vertical="center" indent="1"/>
    </xf>
    <xf numFmtId="0" fontId="55" fillId="8" borderId="0" xfId="6" applyFont="1" applyFill="1" applyAlignment="1">
      <alignment horizontal="right" vertical="center"/>
    </xf>
    <xf numFmtId="0" fontId="55" fillId="8" borderId="0" xfId="6" applyFont="1" applyFill="1">
      <alignment vertical="center"/>
    </xf>
    <xf numFmtId="0" fontId="56" fillId="8" borderId="5" xfId="0" applyFont="1" applyFill="1" applyBorder="1" applyAlignment="1" applyProtection="1">
      <alignment horizontal="left" vertical="center" indent="1"/>
    </xf>
    <xf numFmtId="167" fontId="56" fillId="8" borderId="0" xfId="6" applyNumberFormat="1" applyFont="1" applyFill="1" applyAlignment="1">
      <alignment horizontal="center" vertical="center"/>
    </xf>
    <xf numFmtId="167" fontId="56" fillId="8" borderId="0" xfId="6" applyNumberFormat="1" applyFont="1" applyFill="1" applyAlignment="1">
      <alignment horizontal="right" vertical="center"/>
    </xf>
    <xf numFmtId="0" fontId="56" fillId="8" borderId="53" xfId="0" applyNumberFormat="1" applyFont="1" applyFill="1" applyBorder="1" applyAlignment="1" applyProtection="1">
      <alignment horizontal="right" vertical="center"/>
    </xf>
    <xf numFmtId="0" fontId="57" fillId="8" borderId="53" xfId="0" applyNumberFormat="1" applyFont="1" applyFill="1" applyBorder="1" applyAlignment="1" applyProtection="1">
      <alignment horizontal="left" vertical="center" indent="1"/>
    </xf>
    <xf numFmtId="167" fontId="57" fillId="8" borderId="53" xfId="0" applyNumberFormat="1" applyFont="1" applyFill="1" applyBorder="1" applyAlignment="1" applyProtection="1">
      <alignment horizontal="center" vertical="center"/>
    </xf>
    <xf numFmtId="0" fontId="57" fillId="8" borderId="0" xfId="6" applyFont="1" applyFill="1" applyAlignment="1">
      <alignment horizontal="left" vertical="center" indent="1"/>
    </xf>
    <xf numFmtId="167" fontId="55" fillId="9" borderId="6" xfId="6" applyNumberFormat="1" applyFont="1" applyFill="1" applyBorder="1" applyAlignment="1" applyProtection="1">
      <alignment horizontal="center" vertical="center"/>
      <protection locked="0"/>
    </xf>
    <xf numFmtId="0" fontId="49" fillId="8" borderId="0" xfId="6" applyFont="1" applyFill="1" applyBorder="1" applyAlignment="1">
      <alignment horizontal="right" vertical="center"/>
    </xf>
    <xf numFmtId="0" fontId="49" fillId="8" borderId="0" xfId="6" applyFont="1" applyFill="1" applyBorder="1">
      <alignment vertical="center"/>
    </xf>
    <xf numFmtId="0" fontId="49" fillId="8" borderId="58" xfId="6" applyFont="1" applyFill="1" applyBorder="1" applyAlignment="1">
      <alignment vertical="center"/>
    </xf>
    <xf numFmtId="0" fontId="49" fillId="8" borderId="58" xfId="6" applyFont="1" applyFill="1" applyBorder="1">
      <alignment vertical="center"/>
    </xf>
    <xf numFmtId="0" fontId="61" fillId="8" borderId="0" xfId="6" applyFont="1" applyFill="1" applyAlignment="1">
      <alignment horizontal="left" vertical="center" indent="1"/>
    </xf>
    <xf numFmtId="0" fontId="61" fillId="8" borderId="0" xfId="6" applyFont="1" applyFill="1" applyBorder="1" applyAlignment="1">
      <alignment horizontal="left" vertical="center" indent="1"/>
    </xf>
    <xf numFmtId="0" fontId="57" fillId="8" borderId="0" xfId="0" applyNumberFormat="1" applyFont="1" applyFill="1" applyBorder="1" applyAlignment="1" applyProtection="1">
      <alignment horizontal="left" vertical="center" indent="1"/>
    </xf>
    <xf numFmtId="167" fontId="57" fillId="8" borderId="0" xfId="0" applyNumberFormat="1" applyFont="1" applyFill="1" applyBorder="1" applyAlignment="1" applyProtection="1">
      <alignment horizontal="center" vertical="center"/>
    </xf>
    <xf numFmtId="0" fontId="50" fillId="8" borderId="0" xfId="7" applyFont="1" applyFill="1" applyBorder="1" applyAlignment="1">
      <alignment horizontal="left" vertical="center" indent="1"/>
    </xf>
    <xf numFmtId="0" fontId="57" fillId="8" borderId="42" xfId="0" applyNumberFormat="1" applyFont="1" applyFill="1" applyBorder="1" applyAlignment="1" applyProtection="1">
      <alignment horizontal="left" vertical="center" indent="1"/>
    </xf>
    <xf numFmtId="167" fontId="57" fillId="8" borderId="42" xfId="0" applyNumberFormat="1" applyFont="1" applyFill="1" applyBorder="1" applyAlignment="1" applyProtection="1">
      <alignment horizontal="center" vertical="center"/>
    </xf>
    <xf numFmtId="0" fontId="61" fillId="8" borderId="0" xfId="8" applyFont="1" applyFill="1" applyBorder="1">
      <alignment horizontal="left" vertical="center" indent="1"/>
    </xf>
    <xf numFmtId="0" fontId="50" fillId="8" borderId="0" xfId="7" applyFont="1" applyFill="1" applyBorder="1" applyAlignment="1">
      <alignment horizontal="center" vertical="center"/>
    </xf>
    <xf numFmtId="167" fontId="56" fillId="8" borderId="0" xfId="6" applyNumberFormat="1" applyFont="1" applyFill="1" applyBorder="1" applyAlignment="1">
      <alignment horizontal="center" vertical="center"/>
    </xf>
    <xf numFmtId="0" fontId="56" fillId="8" borderId="8" xfId="0" applyFont="1" applyFill="1" applyBorder="1" applyAlignment="1" applyProtection="1">
      <alignment horizontal="left" vertical="center" indent="1"/>
    </xf>
    <xf numFmtId="0" fontId="56" fillId="8" borderId="8" xfId="0" applyFont="1" applyFill="1" applyBorder="1" applyAlignment="1" applyProtection="1">
      <alignment horizontal="left" vertical="center" wrapText="1" indent="1"/>
    </xf>
    <xf numFmtId="0" fontId="56" fillId="8" borderId="11" xfId="0" applyFont="1" applyFill="1" applyBorder="1" applyAlignment="1">
      <alignment horizontal="left" vertical="center" indent="1"/>
    </xf>
    <xf numFmtId="167" fontId="56" fillId="8" borderId="54" xfId="6" applyNumberFormat="1" applyFont="1" applyFill="1" applyBorder="1" applyAlignment="1">
      <alignment horizontal="center" vertical="center"/>
    </xf>
    <xf numFmtId="0" fontId="56" fillId="8" borderId="12" xfId="0" applyFont="1" applyFill="1" applyBorder="1" applyAlignment="1" applyProtection="1">
      <alignment horizontal="left" vertical="center" indent="1"/>
    </xf>
    <xf numFmtId="167" fontId="56" fillId="8" borderId="55" xfId="6" applyNumberFormat="1" applyFont="1" applyFill="1" applyBorder="1" applyAlignment="1">
      <alignment horizontal="center" vertical="center"/>
    </xf>
    <xf numFmtId="0" fontId="56" fillId="8" borderId="15" xfId="0" applyFont="1" applyFill="1" applyBorder="1" applyAlignment="1" applyProtection="1">
      <alignment horizontal="left" vertical="center" indent="1"/>
    </xf>
    <xf numFmtId="0" fontId="55" fillId="8" borderId="0" xfId="6" applyFont="1" applyFill="1" applyBorder="1">
      <alignment vertical="center"/>
    </xf>
    <xf numFmtId="0" fontId="55" fillId="8" borderId="0" xfId="6" applyFont="1" applyFill="1" applyBorder="1" applyAlignment="1">
      <alignment horizontal="right" vertical="center"/>
    </xf>
    <xf numFmtId="0" fontId="55" fillId="8" borderId="0" xfId="6" applyFont="1" applyFill="1" applyBorder="1" applyAlignment="1">
      <alignment horizontal="center" vertical="center"/>
    </xf>
    <xf numFmtId="0" fontId="57" fillId="8" borderId="43" xfId="0" applyNumberFormat="1" applyFont="1" applyFill="1" applyBorder="1" applyAlignment="1" applyProtection="1">
      <alignment horizontal="left" vertical="center" indent="1"/>
    </xf>
    <xf numFmtId="167" fontId="57" fillId="8" borderId="43" xfId="0" applyNumberFormat="1" applyFont="1" applyFill="1" applyBorder="1" applyAlignment="1" applyProtection="1">
      <alignment horizontal="center" vertical="center"/>
    </xf>
    <xf numFmtId="167" fontId="55" fillId="9" borderId="38" xfId="6" applyNumberFormat="1" applyFont="1" applyFill="1" applyBorder="1" applyAlignment="1" applyProtection="1">
      <alignment horizontal="center" vertical="center"/>
      <protection locked="0"/>
    </xf>
    <xf numFmtId="167" fontId="55" fillId="9" borderId="39" xfId="6" applyNumberFormat="1" applyFont="1" applyFill="1" applyBorder="1" applyAlignment="1" applyProtection="1">
      <alignment horizontal="center" vertical="center"/>
      <protection locked="0"/>
    </xf>
    <xf numFmtId="167" fontId="55" fillId="9" borderId="40" xfId="6" applyNumberFormat="1" applyFont="1" applyFill="1" applyBorder="1" applyAlignment="1" applyProtection="1">
      <alignment horizontal="center" vertical="center"/>
      <protection locked="0"/>
    </xf>
    <xf numFmtId="167" fontId="55" fillId="9" borderId="16" xfId="6" applyNumberFormat="1" applyFont="1" applyFill="1" applyBorder="1" applyAlignment="1" applyProtection="1">
      <alignment horizontal="center" vertical="center"/>
      <protection locked="0"/>
    </xf>
    <xf numFmtId="167" fontId="55" fillId="9" borderId="41" xfId="6" applyNumberFormat="1" applyFont="1" applyFill="1" applyBorder="1" applyAlignment="1" applyProtection="1">
      <alignment horizontal="center" vertical="center"/>
      <protection locked="0"/>
    </xf>
    <xf numFmtId="167" fontId="55" fillId="9" borderId="56" xfId="6" applyNumberFormat="1" applyFont="1" applyFill="1" applyBorder="1" applyAlignment="1" applyProtection="1">
      <alignment horizontal="center" vertical="center"/>
      <protection locked="0"/>
    </xf>
    <xf numFmtId="167" fontId="55" fillId="9" borderId="34" xfId="6" applyNumberFormat="1" applyFont="1" applyFill="1" applyBorder="1" applyAlignment="1" applyProtection="1">
      <alignment horizontal="center" vertical="center"/>
      <protection locked="0"/>
    </xf>
    <xf numFmtId="167" fontId="55" fillId="9" borderId="44" xfId="6" applyNumberFormat="1" applyFont="1" applyFill="1" applyBorder="1" applyAlignment="1" applyProtection="1">
      <alignment horizontal="center" vertical="center"/>
      <protection locked="0"/>
    </xf>
    <xf numFmtId="167" fontId="55" fillId="9" borderId="59" xfId="6" applyNumberFormat="1" applyFont="1" applyFill="1" applyBorder="1" applyAlignment="1" applyProtection="1">
      <alignment horizontal="center" vertical="center"/>
      <protection locked="0"/>
    </xf>
    <xf numFmtId="167" fontId="55" fillId="9" borderId="48" xfId="6" applyNumberFormat="1" applyFont="1" applyFill="1" applyBorder="1" applyAlignment="1" applyProtection="1">
      <alignment horizontal="center" vertical="center"/>
      <protection locked="0"/>
    </xf>
    <xf numFmtId="167" fontId="55" fillId="9" borderId="60" xfId="6" applyNumberFormat="1" applyFont="1" applyFill="1" applyBorder="1" applyAlignment="1" applyProtection="1">
      <alignment horizontal="center" vertical="center"/>
      <protection locked="0"/>
    </xf>
    <xf numFmtId="167" fontId="55" fillId="9" borderId="61" xfId="6" applyNumberFormat="1" applyFont="1" applyFill="1" applyBorder="1" applyAlignment="1" applyProtection="1">
      <alignment horizontal="center" vertical="center"/>
      <protection locked="0"/>
    </xf>
    <xf numFmtId="167" fontId="55" fillId="9" borderId="62" xfId="6" applyNumberFormat="1" applyFont="1" applyFill="1" applyBorder="1" applyAlignment="1" applyProtection="1">
      <alignment horizontal="center" vertical="center"/>
      <protection locked="0"/>
    </xf>
    <xf numFmtId="167" fontId="55" fillId="9" borderId="14" xfId="6" applyNumberFormat="1" applyFont="1" applyFill="1" applyBorder="1" applyAlignment="1" applyProtection="1">
      <alignment horizontal="center" vertical="center"/>
      <protection locked="0"/>
    </xf>
    <xf numFmtId="0" fontId="56" fillId="8" borderId="63" xfId="0" applyFont="1" applyFill="1" applyBorder="1" applyAlignment="1" applyProtection="1">
      <alignment horizontal="left" vertical="center" indent="1"/>
    </xf>
    <xf numFmtId="167" fontId="55" fillId="9" borderId="64" xfId="6" applyNumberFormat="1" applyFont="1" applyFill="1" applyBorder="1" applyAlignment="1" applyProtection="1">
      <alignment horizontal="center" vertical="center"/>
      <protection locked="0"/>
    </xf>
    <xf numFmtId="0" fontId="56" fillId="8" borderId="5" xfId="0" applyFont="1" applyFill="1" applyBorder="1" applyAlignment="1">
      <alignment horizontal="left" vertical="center" indent="1"/>
    </xf>
    <xf numFmtId="0" fontId="56" fillId="8" borderId="65" xfId="0" applyFont="1" applyFill="1" applyBorder="1" applyAlignment="1" applyProtection="1">
      <alignment horizontal="left" vertical="center" indent="1"/>
    </xf>
    <xf numFmtId="0" fontId="56" fillId="8" borderId="65" xfId="6" applyFont="1" applyFill="1" applyBorder="1" applyAlignment="1">
      <alignment horizontal="left" vertical="center" indent="1"/>
    </xf>
    <xf numFmtId="0" fontId="56" fillId="8" borderId="5" xfId="6" applyFont="1" applyFill="1" applyBorder="1" applyAlignment="1">
      <alignment horizontal="left" vertical="center" indent="1"/>
    </xf>
    <xf numFmtId="0" fontId="56" fillId="8" borderId="15" xfId="6" applyFont="1" applyFill="1" applyBorder="1" applyAlignment="1">
      <alignment horizontal="left" vertical="center" indent="1"/>
    </xf>
    <xf numFmtId="0" fontId="49" fillId="8" borderId="0" xfId="0" applyFont="1" applyFill="1" applyProtection="1"/>
    <xf numFmtId="0" fontId="49" fillId="2" borderId="0" xfId="0" applyFont="1" applyFill="1" applyProtection="1"/>
    <xf numFmtId="0" fontId="51" fillId="8" borderId="0" xfId="0" applyFont="1" applyFill="1" applyAlignment="1" applyProtection="1">
      <alignment horizontal="center" vertical="center" wrapText="1"/>
    </xf>
    <xf numFmtId="0" fontId="52" fillId="8" borderId="0" xfId="0" applyFont="1" applyFill="1" applyAlignment="1" applyProtection="1">
      <alignment horizontal="center" wrapText="1"/>
    </xf>
    <xf numFmtId="0" fontId="53" fillId="8" borderId="0" xfId="0" applyFont="1" applyFill="1" applyAlignment="1" applyProtection="1">
      <alignment horizontal="right" wrapText="1" indent="12"/>
    </xf>
    <xf numFmtId="0" fontId="49" fillId="8" borderId="0" xfId="0" applyFont="1" applyFill="1" applyAlignment="1" applyProtection="1">
      <alignment horizontal="left" indent="8"/>
    </xf>
    <xf numFmtId="0" fontId="45" fillId="8" borderId="0" xfId="0" applyFont="1" applyFill="1" applyAlignment="1" applyProtection="1">
      <alignment horizontal="left" wrapText="1" indent="8"/>
    </xf>
    <xf numFmtId="0" fontId="45" fillId="8" borderId="0" xfId="0" applyFont="1" applyFill="1" applyAlignment="1" applyProtection="1">
      <alignment horizontal="left" indent="8"/>
    </xf>
    <xf numFmtId="0" fontId="45" fillId="8" borderId="0" xfId="0" applyFont="1" applyFill="1" applyAlignment="1" applyProtection="1">
      <alignment wrapText="1"/>
    </xf>
    <xf numFmtId="0" fontId="49" fillId="8" borderId="0" xfId="0" applyFont="1" applyFill="1" applyAlignment="1" applyProtection="1">
      <alignment wrapText="1"/>
    </xf>
    <xf numFmtId="0" fontId="49" fillId="8" borderId="0" xfId="0" applyFont="1" applyFill="1" applyAlignment="1" applyProtection="1">
      <alignment horizontal="left" wrapText="1" indent="8"/>
    </xf>
    <xf numFmtId="0" fontId="49" fillId="0" borderId="0" xfId="0" applyFont="1" applyProtection="1"/>
    <xf numFmtId="0" fontId="49" fillId="0" borderId="0" xfId="0" applyFont="1" applyFill="1" applyProtection="1"/>
    <xf numFmtId="0" fontId="39" fillId="12" borderId="0" xfId="2" applyFont="1" applyFill="1" applyBorder="1" applyAlignment="1" applyProtection="1">
      <alignment horizontal="left" vertical="center" wrapText="1"/>
    </xf>
    <xf numFmtId="8" fontId="39" fillId="12" borderId="0" xfId="0" applyNumberFormat="1" applyFont="1" applyFill="1" applyBorder="1" applyAlignment="1" applyProtection="1">
      <alignment horizontal="center" vertical="center"/>
    </xf>
    <xf numFmtId="0" fontId="33" fillId="8" borderId="0" xfId="0" applyFont="1" applyFill="1" applyAlignment="1" applyProtection="1">
      <alignment horizontal="center" vertical="center" wrapText="1"/>
    </xf>
    <xf numFmtId="0" fontId="20" fillId="8" borderId="0" xfId="0" applyFont="1" applyFill="1" applyAlignment="1" applyProtection="1">
      <alignment horizontal="center" vertical="center" wrapText="1"/>
    </xf>
    <xf numFmtId="0" fontId="35" fillId="8" borderId="57" xfId="3" applyFont="1" applyFill="1" applyBorder="1" applyAlignment="1" applyProtection="1">
      <alignment horizontal="left" vertical="center" indent="1"/>
    </xf>
    <xf numFmtId="0" fontId="48" fillId="8" borderId="0" xfId="0" applyFont="1" applyFill="1" applyBorder="1" applyAlignment="1" applyProtection="1">
      <alignment horizontal="center" vertical="center"/>
    </xf>
    <xf numFmtId="8" fontId="47" fillId="10" borderId="0" xfId="0" applyNumberFormat="1" applyFont="1" applyFill="1" applyBorder="1" applyAlignment="1" applyProtection="1">
      <alignment horizontal="center" vertical="center"/>
    </xf>
    <xf numFmtId="8" fontId="47" fillId="11" borderId="0" xfId="0" applyNumberFormat="1" applyFont="1" applyFill="1" applyBorder="1" applyAlignment="1" applyProtection="1">
      <alignment horizontal="center" vertical="center"/>
    </xf>
    <xf numFmtId="0" fontId="39" fillId="10" borderId="0" xfId="2" applyFont="1" applyFill="1" applyBorder="1" applyAlignment="1" applyProtection="1">
      <alignment horizontal="left" vertical="center" wrapText="1"/>
    </xf>
    <xf numFmtId="0" fontId="39" fillId="11" borderId="0" xfId="2" applyFont="1" applyFill="1" applyBorder="1" applyAlignment="1" applyProtection="1">
      <alignment horizontal="left" vertical="center" wrapText="1"/>
    </xf>
    <xf numFmtId="0" fontId="35" fillId="8" borderId="57" xfId="3" applyFont="1" applyFill="1" applyBorder="1" applyAlignment="1" applyProtection="1">
      <alignment horizontal="left" vertical="center"/>
    </xf>
    <xf numFmtId="0" fontId="34" fillId="8" borderId="12" xfId="2" applyFont="1" applyFill="1" applyBorder="1" applyAlignment="1" applyProtection="1">
      <alignment horizontal="left" vertical="center"/>
    </xf>
    <xf numFmtId="0" fontId="34" fillId="8" borderId="14" xfId="2" applyFont="1" applyFill="1" applyBorder="1" applyAlignment="1" applyProtection="1">
      <alignment horizontal="left" vertical="center"/>
    </xf>
    <xf numFmtId="0" fontId="34" fillId="8" borderId="5" xfId="2" applyFont="1" applyFill="1" applyBorder="1" applyAlignment="1" applyProtection="1">
      <alignment horizontal="left" vertical="center"/>
    </xf>
    <xf numFmtId="0" fontId="34" fillId="8" borderId="6" xfId="2" applyFont="1" applyFill="1" applyBorder="1" applyAlignment="1" applyProtection="1">
      <alignment horizontal="left" vertical="center"/>
    </xf>
    <xf numFmtId="0" fontId="44" fillId="8" borderId="5" xfId="2" applyFont="1" applyFill="1" applyBorder="1" applyAlignment="1" applyProtection="1">
      <alignment horizontal="left" vertical="center"/>
    </xf>
    <xf numFmtId="0" fontId="44" fillId="8" borderId="6" xfId="2" applyFont="1" applyFill="1" applyBorder="1" applyAlignment="1" applyProtection="1">
      <alignment horizontal="left" vertical="center"/>
    </xf>
    <xf numFmtId="0" fontId="39" fillId="10" borderId="0" xfId="2" applyFont="1" applyFill="1" applyBorder="1" applyAlignment="1" applyProtection="1">
      <alignment horizontal="left" vertical="center" wrapText="1" indent="1"/>
    </xf>
    <xf numFmtId="0" fontId="39" fillId="11" borderId="0" xfId="2" applyFont="1" applyFill="1" applyBorder="1" applyAlignment="1" applyProtection="1">
      <alignment horizontal="left" vertical="center" wrapText="1" indent="1"/>
    </xf>
    <xf numFmtId="0" fontId="39" fillId="12" borderId="0" xfId="2" applyFont="1" applyFill="1" applyBorder="1" applyAlignment="1" applyProtection="1">
      <alignment horizontal="left" vertical="center" wrapText="1" indent="1"/>
    </xf>
    <xf numFmtId="0" fontId="58" fillId="8" borderId="0" xfId="6" applyFont="1" applyFill="1" applyBorder="1" applyAlignment="1" applyProtection="1">
      <alignment horizontal="center" vertical="center"/>
      <protection locked="0"/>
    </xf>
    <xf numFmtId="0" fontId="60" fillId="8" borderId="0" xfId="6" applyFont="1" applyFill="1" applyBorder="1" applyAlignment="1">
      <alignment horizontal="left" vertical="center"/>
    </xf>
    <xf numFmtId="0" fontId="60" fillId="8" borderId="58" xfId="6" applyFont="1" applyFill="1" applyBorder="1" applyAlignment="1">
      <alignment horizontal="left" vertical="center"/>
    </xf>
    <xf numFmtId="0" fontId="19" fillId="8" borderId="0" xfId="6" applyFont="1" applyFill="1">
      <alignment vertical="center"/>
    </xf>
    <xf numFmtId="0" fontId="45" fillId="8" borderId="0" xfId="0" applyFont="1" applyFill="1" applyAlignment="1" applyProtection="1">
      <alignment horizontal="left" wrapText="1" indent="8"/>
    </xf>
    <xf numFmtId="0" fontId="45" fillId="8" borderId="0" xfId="0" applyFont="1" applyFill="1" applyAlignment="1" applyProtection="1">
      <alignment horizontal="left" indent="8"/>
    </xf>
    <xf numFmtId="0" fontId="66" fillId="8" borderId="0" xfId="0" applyFont="1" applyFill="1" applyAlignment="1" applyProtection="1">
      <alignment horizontal="center" vertical="center"/>
    </xf>
    <xf numFmtId="0" fontId="50" fillId="8" borderId="0" xfId="0" applyFont="1" applyFill="1" applyAlignment="1" applyProtection="1">
      <alignment horizontal="justify" wrapText="1"/>
    </xf>
    <xf numFmtId="0" fontId="49" fillId="8" borderId="0" xfId="0" applyFont="1" applyFill="1" applyAlignment="1" applyProtection="1">
      <alignment horizontal="center"/>
    </xf>
    <xf numFmtId="0" fontId="34" fillId="8" borderId="0" xfId="0" applyFont="1" applyFill="1" applyAlignment="1" applyProtection="1">
      <alignment horizontal="left" indent="6"/>
    </xf>
    <xf numFmtId="0" fontId="62" fillId="8" borderId="0" xfId="0" applyFont="1" applyFill="1" applyAlignment="1" applyProtection="1">
      <alignment horizontal="left"/>
    </xf>
    <xf numFmtId="0" fontId="49" fillId="8" borderId="0" xfId="0" applyFont="1" applyFill="1" applyAlignment="1" applyProtection="1">
      <alignment horizontal="left" wrapText="1" indent="8"/>
    </xf>
    <xf numFmtId="0" fontId="45" fillId="8" borderId="0" xfId="0" applyFont="1" applyFill="1" applyAlignment="1" applyProtection="1">
      <alignment horizontal="left" wrapText="1"/>
    </xf>
    <xf numFmtId="0" fontId="62" fillId="8" borderId="0" xfId="0" applyFont="1" applyFill="1" applyAlignment="1" applyProtection="1">
      <alignment horizontal="center" wrapText="1"/>
    </xf>
    <xf numFmtId="0" fontId="62" fillId="8" borderId="0" xfId="0" applyFont="1" applyFill="1" applyAlignment="1" applyProtection="1">
      <alignment horizontal="center"/>
    </xf>
  </cellXfs>
  <cellStyles count="9">
    <cellStyle name="Date" xfId="5" xr:uid="{FE33F3B2-B201-45AD-A81E-81BCB12ED9D2}"/>
    <cellStyle name="Normal" xfId="0" builtinId="0" customBuiltin="1"/>
    <cellStyle name="Normal 2" xfId="6" xr:uid="{2E67B9C2-2896-4F45-8621-8B6FE351906E}"/>
    <cellStyle name="Téléphone" xfId="4" xr:uid="{70E46558-98AC-446F-861A-54F270CBD905}"/>
    <cellStyle name="Titre 1" xfId="1" builtinId="16" customBuiltin="1"/>
    <cellStyle name="Titre 2" xfId="2" builtinId="17" customBuiltin="1"/>
    <cellStyle name="Titre 2 2" xfId="7" xr:uid="{F6D7F3BE-4551-4E59-B25F-34B79A273EEE}"/>
    <cellStyle name="Titre 3" xfId="3" builtinId="18" customBuiltin="1"/>
    <cellStyle name="Titre 3 2" xfId="8" xr:uid="{27D233E8-81E8-4811-B10E-A158B67947D2}"/>
  </cellStyles>
  <dxfs count="575">
    <dxf>
      <font>
        <b val="0"/>
        <i val="0"/>
        <strike val="0"/>
        <condense val="0"/>
        <extend val="0"/>
        <outline val="0"/>
        <shadow val="0"/>
        <u val="none"/>
        <vertAlign val="baseline"/>
        <sz val="10"/>
        <color rgb="FF555A3C"/>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555A3C"/>
        <name val="Calibri"/>
        <family val="2"/>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2"/>
        <color theme="0"/>
        <name val="Calibri"/>
        <family val="2"/>
      </font>
      <numFmt numFmtId="167" formatCode="#,##0.00\ &quot;€&quot;"/>
      <fill>
        <patternFill patternType="solid">
          <fgColor indexed="64"/>
          <bgColor rgb="FF32384D"/>
        </patternFill>
      </fill>
      <alignment horizontal="right"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numFmt numFmtId="167" formatCode="#,##0.00\ &quot;€&quot;"/>
      <fill>
        <patternFill patternType="solid">
          <fgColor indexed="64"/>
          <bgColor rgb="FFFAC858"/>
        </patternFill>
      </fill>
      <alignment horizontal="center" vertical="center" textRotation="0" wrapText="0" indent="0" justifyLastLine="0" shrinkToFit="0" readingOrder="0"/>
    </dxf>
    <dxf>
      <font>
        <strike val="0"/>
        <outline val="0"/>
        <shadow val="0"/>
        <u val="none"/>
        <vertAlign val="baseline"/>
        <sz val="12"/>
        <color rgb="FF32384D"/>
        <name val="Calibri"/>
        <family val="2"/>
      </font>
      <fill>
        <patternFill patternType="solid">
          <fgColor indexed="64"/>
          <bgColor rgb="FFFAC858"/>
        </patternFill>
      </fill>
      <alignment horizontal="left" vertical="center" textRotation="0" wrapText="0" relativeIndent="1" justifyLastLine="0" shrinkToFit="0" readingOrder="0"/>
    </dxf>
    <dxf>
      <font>
        <strike val="0"/>
        <outline val="0"/>
        <shadow val="0"/>
        <u val="none"/>
        <vertAlign val="baseline"/>
        <sz val="12"/>
        <color theme="0"/>
        <name val="Calibri"/>
        <family val="2"/>
      </font>
      <fill>
        <patternFill patternType="solid">
          <fgColor indexed="64"/>
          <bgColor rgb="FF32384D"/>
        </patternFill>
      </fill>
    </dxf>
    <dxf>
      <font>
        <strike val="0"/>
        <outline val="0"/>
        <shadow val="0"/>
        <u val="none"/>
        <vertAlign val="baseline"/>
        <sz val="12"/>
        <color theme="0"/>
        <name val="Calibri"/>
        <family val="2"/>
        <scheme val="major"/>
      </font>
      <fill>
        <patternFill patternType="solid">
          <fgColor indexed="64"/>
          <bgColor rgb="FF32384D"/>
        </patternFill>
      </fill>
    </dxf>
    <dxf>
      <font>
        <b val="0"/>
        <i val="0"/>
        <strike val="0"/>
        <condense val="0"/>
        <extend val="0"/>
        <outline val="0"/>
        <shadow val="0"/>
        <u val="none"/>
        <vertAlign val="baseline"/>
        <sz val="10"/>
        <color rgb="FFF8F1E5"/>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righ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dxf>
    <dxf>
      <font>
        <strike val="0"/>
        <outline val="0"/>
        <shadow val="0"/>
        <u val="none"/>
        <vertAlign val="baseline"/>
        <sz val="10"/>
        <color rgb="FFF8F1E5"/>
        <name val="Calibri"/>
        <family val="2"/>
        <scheme val="minor"/>
      </font>
      <fill>
        <patternFill patternType="solid">
          <fgColor indexed="64"/>
          <bgColor rgb="FF32384D"/>
        </patternFill>
      </fill>
    </dxf>
    <dxf>
      <font>
        <strike val="0"/>
        <outline val="0"/>
        <shadow val="0"/>
        <u val="none"/>
        <vertAlign val="baseline"/>
        <sz val="10"/>
        <color rgb="FFF8F1E5"/>
        <name val="Calibri"/>
        <family val="2"/>
        <scheme val="minor"/>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555A3C"/>
        <name val="Calibri"/>
        <family val="2"/>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relativeIndent="1" justifyLastLine="0" shrinkToFit="0" readingOrder="0"/>
      <border diagonalUp="0" diagonalDown="0" outline="0">
        <left/>
        <right style="thin">
          <color theme="0" tint="-0.14996795556505021"/>
        </right>
        <top style="thin">
          <color theme="0" tint="-0.14996795556505021"/>
        </top>
        <bottom style="thin">
          <color theme="0" tint="-0.14996795556505021"/>
        </bottom>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555A3C"/>
        <name val="Calibri"/>
        <family val="2"/>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border outline="0">
        <left style="thin">
          <color theme="0" tint="-0.14996795556505021"/>
        </left>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right"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555A3C"/>
        <name val="Calibri"/>
        <family val="2"/>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relative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555A3C"/>
        <name val="Calibri"/>
        <family val="2"/>
      </font>
      <numFmt numFmtId="167" formatCode="#,##0.00\ &quot;€&quot;"/>
      <fill>
        <patternFill patternType="solid">
          <fgColor indexed="64"/>
          <bgColor rgb="FF32384D"/>
        </patternFill>
      </fill>
      <alignment horizontal="right"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relativeIndent="1"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555A3C"/>
        <name val="Calibri"/>
        <family val="2"/>
      </font>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thick">
          <color rgb="FFC00000"/>
        </bottom>
      </border>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dxf>
    <dxf>
      <font>
        <strike val="0"/>
        <outline val="0"/>
        <shadow val="0"/>
        <u val="none"/>
        <vertAlign val="baseline"/>
        <sz val="10"/>
        <color rgb="FFF8F1E5"/>
        <name val="Calibri"/>
        <family val="2"/>
        <scheme val="minor"/>
      </font>
      <fill>
        <patternFill patternType="solid">
          <fgColor indexed="64"/>
          <bgColor rgb="FF32384D"/>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555A3C"/>
        <name val="Calibri"/>
        <family val="2"/>
      </font>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555A3C"/>
        <name val="Calibri"/>
        <family val="2"/>
      </font>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555A3C"/>
        <name val="Calibri"/>
        <family val="2"/>
      </font>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right" vertical="center" textRotation="0" wrapText="0" indent="0"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thick">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rgb="FF555A3C"/>
        <name val="Calibri"/>
        <family val="2"/>
        <scheme val="minor"/>
      </font>
      <fill>
        <patternFill patternType="solid">
          <fgColor indexed="64"/>
          <bgColor rgb="FF32384D"/>
        </patternFill>
      </fill>
      <alignment horizontal="right" vertical="center" textRotation="0" wrapText="0" indent="0" justifyLastLine="0" shrinkToFit="0" readingOrder="0"/>
    </dxf>
    <dxf>
      <font>
        <strike val="0"/>
        <outline val="0"/>
        <shadow val="0"/>
        <u val="none"/>
        <vertAlign val="baseline"/>
        <sz val="10"/>
        <color rgb="FF555A3C"/>
        <name val="Calibri"/>
        <family val="2"/>
      </font>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outline="0">
        <left style="thin">
          <color theme="0" tint="-0.14996795556505021"/>
        </left>
      </border>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0"/>
        <color rgb="FFF9BA32"/>
        <name val="Calibri"/>
        <family val="2"/>
        <scheme val="minor"/>
      </font>
      <fill>
        <patternFill patternType="solid">
          <fgColor indexed="64"/>
          <bgColor rgb="FF32384D"/>
        </patternFill>
      </fill>
      <alignment horizontal="left" vertical="center" textRotation="0" wrapText="0" indent="1" justifyLastLine="0" shrinkToFit="0" readingOrder="0"/>
    </dxf>
    <dxf>
      <font>
        <strike val="0"/>
        <outline val="0"/>
        <shadow val="0"/>
        <u val="none"/>
        <vertAlign val="baseline"/>
        <sz val="10"/>
        <color rgb="FFF8F1E5"/>
        <name val="Calibri"/>
        <family val="2"/>
        <scheme val="minor"/>
      </font>
      <fill>
        <patternFill patternType="solid">
          <fgColor indexed="64"/>
          <bgColor rgb="FF32384D"/>
        </patternFill>
      </fill>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0"/>
        <color rgb="FF555A3C"/>
        <name val="Calibri"/>
        <family val="2"/>
      </font>
      <fill>
        <patternFill patternType="solid">
          <fgColor indexed="64"/>
          <bgColor rgb="FF32384D"/>
        </patternFill>
      </fill>
    </dxf>
    <dxf>
      <border diagonalUp="0" diagonalDown="0">
        <left/>
        <right/>
        <top/>
        <bottom style="thick">
          <color rgb="FFC00000"/>
        </bottom>
      </border>
    </dxf>
    <dxf>
      <font>
        <strike val="0"/>
        <outline val="0"/>
        <shadow val="0"/>
        <u val="none"/>
        <vertAlign val="baseline"/>
        <sz val="10"/>
        <color rgb="FF555A3C"/>
        <name val="Calibri"/>
        <family val="2"/>
      </font>
      <fill>
        <patternFill patternType="solid">
          <fgColor indexed="64"/>
          <bgColor rgb="FF32384D"/>
        </patternFill>
      </fill>
    </dxf>
    <dxf>
      <font>
        <strike val="0"/>
        <outline val="0"/>
        <shadow val="0"/>
        <u val="none"/>
        <vertAlign val="baseline"/>
        <sz val="10"/>
        <color rgb="FF555A3C"/>
        <name val="Calibri"/>
        <family val="2"/>
      </font>
      <fill>
        <patternFill patternType="solid">
          <fgColor indexed="64"/>
          <bgColor rgb="FF32384D"/>
        </patternFill>
      </fill>
    </dxf>
    <dxf>
      <font>
        <b val="0"/>
        <i val="0"/>
        <strike val="0"/>
        <condense val="0"/>
        <extend val="0"/>
        <outline val="0"/>
        <shadow val="0"/>
        <u val="none"/>
        <vertAlign val="baseline"/>
        <sz val="10"/>
        <color theme="5" tint="-0.499984740745262"/>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medium">
          <color rgb="FFC00000"/>
        </bottom>
      </border>
      <protection locked="1" hidden="0"/>
    </dxf>
    <dxf>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98474074526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3743705557422"/>
        </left>
        <right style="thin">
          <color theme="0" tint="-0.14996795556505021"/>
        </right>
        <top style="thin">
          <color theme="0" tint="-0.14996795556505021"/>
        </top>
        <bottom style="thin">
          <color theme="0" tint="-0.14996795556505021"/>
        </bottom>
        <vertical style="thin">
          <color theme="0" tint="-0.14996795556505021"/>
        </vertical>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medium">
          <color rgb="FFC0000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3743705557422"/>
        </right>
        <top style="thin">
          <color theme="0" tint="-0.14993743705557422"/>
        </top>
        <bottom style="thin">
          <color theme="0" tint="-0.14993743705557422"/>
        </bottom>
      </border>
      <protection locked="1" hidden="0"/>
    </dxf>
    <dxf>
      <font>
        <strike val="0"/>
        <outline val="0"/>
        <shadow val="0"/>
        <u val="none"/>
        <vertAlign val="baseline"/>
        <sz val="10"/>
        <color theme="5" tint="-0.499984740745262"/>
        <name val="Calibri"/>
        <scheme val="minor"/>
      </font>
      <fill>
        <patternFill patternType="solid">
          <fgColor indexed="64"/>
          <bgColor rgb="FF32384D"/>
        </patternFill>
      </fill>
    </dxf>
    <dxf>
      <font>
        <strike val="0"/>
        <outline val="0"/>
        <shadow val="0"/>
        <u val="none"/>
        <vertAlign val="baseline"/>
        <sz val="10"/>
        <color theme="5" tint="-0.499984740745262"/>
        <name val="Calibri"/>
        <scheme val="minor"/>
      </font>
      <fill>
        <patternFill patternType="solid">
          <fgColor indexed="64"/>
          <bgColor rgb="FF32384D"/>
        </patternFill>
      </fill>
    </dxf>
    <dxf>
      <font>
        <strike val="0"/>
        <outline val="0"/>
        <shadow val="0"/>
        <u val="none"/>
        <vertAlign val="baseline"/>
        <sz val="10"/>
        <color theme="5" tint="-0.499984740745262"/>
        <name val="Calibri"/>
        <scheme val="minor"/>
      </font>
      <fill>
        <patternFill patternType="solid">
          <fgColor indexed="64"/>
          <bgColor rgb="FF32384D"/>
        </patternFill>
      </fill>
    </dxf>
    <dxf>
      <font>
        <b val="0"/>
        <i val="0"/>
        <strike val="0"/>
        <condense val="0"/>
        <extend val="0"/>
        <outline val="0"/>
        <shadow val="0"/>
        <u val="none"/>
        <vertAlign val="baseline"/>
        <sz val="10"/>
        <color theme="4" tint="-0.499984740745262"/>
        <name val="Calibri"/>
        <family val="2"/>
        <scheme val="minor"/>
      </font>
      <numFmt numFmtId="0" formatCode="General"/>
      <fill>
        <patternFill patternType="solid">
          <fgColor indexed="64"/>
          <bgColor rgb="FF32384D"/>
        </patternFill>
      </fill>
      <alignment horizontal="right" vertical="center" textRotation="0" wrapText="0" indent="0" justifyLastLine="0" shrinkToFit="0" readingOrder="0"/>
      <border diagonalUp="0" diagonalDown="0" outline="0">
        <left/>
        <right/>
        <top/>
        <bottom style="medium">
          <color rgb="FF0070C0"/>
        </bottom>
      </border>
      <protection locked="1" hidden="0"/>
    </dxf>
    <dxf>
      <numFmt numFmtId="167" formatCode="#,##0.00\ &quot;€&quot;"/>
      <fill>
        <patternFill patternType="solid">
          <fgColor indexed="64"/>
          <bgColor rgb="FF32384D"/>
        </patternFill>
      </fill>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0691854609822"/>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i val="0"/>
        <strike val="0"/>
        <condense val="0"/>
        <extend val="0"/>
        <outline val="0"/>
        <shadow val="0"/>
        <u val="none"/>
        <vertAlign val="baseline"/>
        <sz val="10"/>
        <color rgb="FFF9BA32"/>
        <name val="Calibri"/>
        <family val="2"/>
        <scheme val="minor"/>
      </font>
      <numFmt numFmtId="0" formatCode="General"/>
      <fill>
        <patternFill patternType="solid">
          <fgColor indexed="64"/>
          <bgColor rgb="FF32384D"/>
        </patternFill>
      </fill>
      <alignment horizontal="left" vertical="center" textRotation="0" wrapText="0" indent="1" justifyLastLine="0" shrinkToFit="0" readingOrder="0"/>
      <border diagonalUp="0" diagonalDown="0" outline="0">
        <left/>
        <right/>
        <top/>
        <bottom style="medium">
          <color rgb="FF0070C0"/>
        </bottom>
      </border>
      <protection locked="1" hidden="0"/>
    </dxf>
    <dxf>
      <font>
        <strike val="0"/>
        <outline val="0"/>
        <shadow val="0"/>
        <u val="none"/>
        <vertAlign val="baseline"/>
        <sz val="10"/>
        <color rgb="FFF8F1E5"/>
        <name val="Calibri"/>
        <family val="2"/>
        <scheme val="minor"/>
      </font>
      <fill>
        <patternFill patternType="solid">
          <fgColor indexed="64"/>
          <bgColor rgb="FF32384D"/>
        </patternFill>
      </fill>
      <border diagonalUp="0" diagonalDown="0">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ill>
        <patternFill patternType="solid">
          <fgColor indexed="64"/>
          <bgColor rgb="FF32384D"/>
        </patternFill>
      </fill>
    </dxf>
    <dxf>
      <font>
        <strike val="0"/>
        <outline val="0"/>
        <shadow val="0"/>
        <u val="none"/>
        <vertAlign val="baseline"/>
        <sz val="10"/>
        <color theme="4" tint="-0.499984740745262"/>
        <name val="Calibri"/>
        <scheme val="minor"/>
      </font>
      <fill>
        <patternFill patternType="solid">
          <fgColor indexed="64"/>
          <bgColor rgb="FF32384D"/>
        </patternFill>
      </fill>
    </dxf>
    <dxf>
      <fill>
        <patternFill patternType="solid">
          <fgColor indexed="64"/>
          <bgColor rgb="FF32384D"/>
        </patternFill>
      </fill>
    </dxf>
    <dxf>
      <font>
        <color rgb="FF9C0006"/>
      </font>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top style="thin">
          <color theme="0" tint="-0.14993743705557422"/>
        </top>
        <bottom style="thin">
          <color theme="0" tint="-0.14993743705557422"/>
        </bottom>
      </border>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4"/>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0691854609822"/>
        </right>
        <top style="thin">
          <color theme="0" tint="-0.14993743705557422"/>
        </top>
        <bottom style="thin">
          <color theme="0" tint="-0.14993743705557422"/>
        </bottom>
      </border>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top style="thin">
          <color theme="0" tint="-0.14993743705557422"/>
        </top>
      </border>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bottom/>
      </border>
    </dxf>
    <dxf>
      <font>
        <b val="0"/>
        <i val="0"/>
        <strike val="0"/>
        <outline val="0"/>
        <shadow val="0"/>
        <u val="none"/>
        <vertAlign val="baseline"/>
        <sz val="12"/>
        <color rgb="FFF8F1E5"/>
        <name val="Calibri"/>
        <family val="2"/>
        <scheme val="minor"/>
      </font>
      <numFmt numFmtId="168" formatCode="#.##0\.00\ &quot;€&quot;"/>
      <fill>
        <patternFill patternType="solid">
          <fgColor indexed="64"/>
          <bgColor rgb="FF32384D"/>
        </patternFill>
      </fill>
      <protection locked="1" hidden="0"/>
    </dxf>
    <dxf>
      <border>
        <bottom style="thin">
          <color theme="0" tint="-0.14996795556505021"/>
        </bottom>
      </border>
    </dxf>
    <dxf>
      <font>
        <b val="0"/>
        <i val="0"/>
        <strike val="0"/>
        <condense val="0"/>
        <extend val="0"/>
        <outline val="0"/>
        <shadow val="0"/>
        <u val="none"/>
        <vertAlign val="baseline"/>
        <sz val="12"/>
        <color theme="1" tint="0.24994659260841701"/>
        <name val="Calibri"/>
        <scheme val="minor"/>
      </font>
      <fill>
        <patternFill patternType="solid">
          <fgColor indexed="64"/>
          <bgColor rgb="FF32384D"/>
        </patternFill>
      </fill>
      <alignment horizontal="general" vertical="center" textRotation="0" wrapText="0" indent="0" justifyLastLine="0" shrinkToFit="0" readingOrder="0"/>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strike val="0"/>
        <outline val="0"/>
        <shadow val="0"/>
        <u val="none"/>
        <vertAlign val="baseline"/>
        <sz val="12"/>
        <color rgb="FFF9BA32"/>
        <name val="Calibri"/>
        <family val="2"/>
        <scheme val="minor"/>
      </font>
      <fill>
        <patternFill patternType="solid">
          <fgColor indexed="64"/>
          <bgColor rgb="FF32384D"/>
        </patternFill>
      </fill>
      <border diagonalUp="0" diagonalDown="0" outline="0">
        <left style="thin">
          <color theme="0" tint="-0.14996795556505021"/>
        </left>
        <right style="thin">
          <color theme="0" tint="-0.14996795556505021"/>
        </right>
        <top/>
        <bottom/>
      </border>
      <protection locked="1" hidden="0"/>
    </dxf>
    <dxf>
      <font>
        <b val="0"/>
        <i val="0"/>
        <strike val="0"/>
        <outline val="0"/>
        <shadow val="0"/>
        <u val="none"/>
        <vertAlign val="baseline"/>
        <sz val="12"/>
        <color theme="1" tint="0.34998626667073579"/>
        <name val="Calibri"/>
        <scheme val="minor"/>
      </font>
      <fill>
        <patternFill patternType="solid">
          <fgColor indexed="64"/>
          <bgColor rgb="FF32384D"/>
        </patternFill>
      </fill>
      <protection locked="1" hidden="0"/>
    </dxf>
    <dxf>
      <border>
        <bottom style="thin">
          <color theme="0" tint="-0.14996795556505021"/>
        </bottom>
      </border>
    </dxf>
    <dxf>
      <font>
        <b val="0"/>
        <i val="0"/>
        <strike val="0"/>
        <condense val="0"/>
        <extend val="0"/>
        <outline val="0"/>
        <shadow val="0"/>
        <u val="none"/>
        <vertAlign val="baseline"/>
        <sz val="12"/>
        <color theme="1" tint="0.24994659260841701"/>
        <name val="Calibri"/>
        <scheme val="minor"/>
      </font>
      <fill>
        <patternFill patternType="solid">
          <fgColor indexed="64"/>
          <bgColor rgb="FF32384D"/>
        </patternFill>
      </fill>
      <alignment horizontal="general" vertical="center" textRotation="0" wrapText="0" indent="0" justifyLastLine="0" shrinkToFit="0" readingOrder="0"/>
      <protection locked="1" hidden="0"/>
    </dxf>
    <dxf>
      <font>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b/>
        <i val="0"/>
        <strike val="0"/>
        <outline val="0"/>
        <shadow val="0"/>
        <u val="none"/>
        <vertAlign val="baseline"/>
        <sz val="14"/>
        <color rgb="FFF9BA32"/>
        <name val="Calibri"/>
        <family val="2"/>
        <scheme val="minor"/>
      </font>
      <fill>
        <patternFill patternType="solid">
          <fgColor indexed="64"/>
          <bgColor rgb="FF32384D"/>
        </patternFill>
      </fill>
      <border diagonalUp="0" diagonalDown="0" outline="0">
        <left style="thin">
          <color theme="0" tint="-0.14996795556505021"/>
        </left>
        <right style="thin">
          <color theme="0" tint="-0.14996795556505021"/>
        </right>
        <top/>
        <bottom/>
      </border>
      <protection locked="1" hidden="0"/>
    </dxf>
    <dxf>
      <fill>
        <patternFill patternType="solid">
          <fgColor indexed="64"/>
          <bgColor rgb="FF32384D"/>
        </patternFill>
      </fill>
      <protection locked="1" hidden="0"/>
    </dxf>
    <dxf>
      <border outline="0">
        <bottom style="thin">
          <color theme="0" tint="-0.14996795556505021"/>
        </bottom>
      </border>
    </dxf>
    <dxf>
      <fill>
        <patternFill patternType="solid">
          <fgColor indexed="64"/>
          <bgColor rgb="FF32384D"/>
        </patternFill>
      </fill>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strike val="0"/>
        <outline val="0"/>
        <shadow val="0"/>
        <u val="none"/>
        <vertAlign val="baseline"/>
        <sz val="12"/>
        <color rgb="FFF9BA32"/>
        <name val="Calibri"/>
        <family val="2"/>
        <scheme val="minor"/>
      </font>
      <fill>
        <patternFill patternType="solid">
          <fgColor indexed="64"/>
          <bgColor rgb="FF32384D"/>
        </patternFill>
      </fill>
      <border diagonalUp="0" diagonalDown="0" outline="0">
        <left style="thin">
          <color theme="0" tint="-0.14996795556505021"/>
        </left>
        <right style="thin">
          <color theme="0" tint="-0.14996795556505021"/>
        </right>
        <top/>
        <bottom/>
      </border>
      <protection locked="1" hidden="0"/>
    </dxf>
    <dxf>
      <font>
        <b val="0"/>
        <i val="0"/>
        <strike val="0"/>
        <outline val="0"/>
        <shadow val="0"/>
        <u val="none"/>
        <vertAlign val="baseline"/>
        <sz val="12"/>
        <color theme="1" tint="0.34998626667073579"/>
        <name val="Calibri"/>
        <scheme val="minor"/>
      </font>
      <fill>
        <patternFill patternType="solid">
          <fgColor indexed="64"/>
          <bgColor rgb="FF32384D"/>
        </patternFill>
      </fill>
      <protection locked="1" hidden="0"/>
    </dxf>
    <dxf>
      <border>
        <bottom style="thin">
          <color theme="0" tint="-0.14996795556505021"/>
        </bottom>
      </border>
    </dxf>
    <dxf>
      <font>
        <b val="0"/>
        <i val="0"/>
        <strike val="0"/>
        <condense val="0"/>
        <extend val="0"/>
        <outline val="0"/>
        <shadow val="0"/>
        <u val="none"/>
        <vertAlign val="baseline"/>
        <sz val="12"/>
        <color theme="1" tint="0.34998626667073579"/>
        <name val="Calibri"/>
        <scheme val="minor"/>
      </font>
      <fill>
        <patternFill patternType="solid">
          <fgColor indexed="64"/>
          <bgColor rgb="FF32384D"/>
        </patternFill>
      </fill>
      <alignment horizontal="general" vertical="center" textRotation="0" wrapText="0" indent="0" justifyLastLine="0" shrinkToFit="0" readingOrder="0"/>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strike val="0"/>
        <outline val="0"/>
        <shadow val="0"/>
        <u val="none"/>
        <vertAlign val="baseline"/>
        <sz val="12"/>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protection locked="1" hidden="0"/>
    </dxf>
    <dxf>
      <border diagonalUp="0" diagonalDown="0">
        <left/>
        <right/>
        <top/>
        <bottom/>
      </border>
    </dxf>
    <dxf>
      <font>
        <b val="0"/>
        <i val="0"/>
        <strike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wrapText="0" indent="1" justifyLastLine="0" shrinkToFit="0" readingOrder="0"/>
      <protection locked="1" hidden="0"/>
    </dxf>
    <dxf>
      <border>
        <bottom style="thin">
          <color theme="0" tint="-0.14996795556505021"/>
        </bottom>
      </border>
    </dxf>
    <dxf>
      <font>
        <b/>
        <i val="0"/>
        <strike val="0"/>
        <condense val="0"/>
        <extend val="0"/>
        <outline val="0"/>
        <shadow val="0"/>
        <u val="none"/>
        <vertAlign val="baseline"/>
        <sz val="14"/>
        <color theme="1" tint="0.34998626667073579"/>
        <name val="Calibri"/>
        <scheme val="minor"/>
      </font>
      <fill>
        <patternFill patternType="solid">
          <fgColor indexed="64"/>
          <bgColor rgb="FF32384D"/>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top style="thin">
          <color theme="0" tint="-0.14996795556505021"/>
        </top>
      </border>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theme="1" tint="0.34998626667073579"/>
        <name val="Calibri"/>
        <scheme val="minor"/>
      </font>
      <fill>
        <patternFill patternType="solid">
          <fgColor indexed="64"/>
          <bgColor rgb="FF32384D"/>
        </patternFill>
      </fill>
      <protection locked="1" hidden="0"/>
    </dxf>
    <dxf>
      <border>
        <bottom style="thin">
          <color theme="0" tint="-0.14996795556505021"/>
        </bottom>
      </border>
    </dxf>
    <dxf>
      <font>
        <b/>
        <i val="0"/>
        <strike val="0"/>
        <condense val="0"/>
        <extend val="0"/>
        <outline val="0"/>
        <shadow val="0"/>
        <u val="none"/>
        <vertAlign val="baseline"/>
        <sz val="14"/>
        <color theme="1" tint="0.34998626667073579"/>
        <name val="Calibri"/>
        <scheme val="minor"/>
      </font>
      <fill>
        <patternFill patternType="solid">
          <fgColor indexed="64"/>
          <bgColor rgb="FF32384D"/>
        </patternFill>
      </fill>
      <alignment horizontal="general" vertical="center" textRotation="0" wrapText="0" indent="0" justifyLastLine="0" shrinkToFit="0" readingOrder="0"/>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3743705557422"/>
        </left>
        <right style="thin">
          <color theme="0" tint="-0.14996795556505021"/>
        </right>
        <top style="thin">
          <color theme="0" tint="-0.14993743705557422"/>
        </top>
        <bottom style="thin">
          <color theme="0" tint="-0.14993743705557422"/>
        </bottom>
      </border>
      <protection locked="0" hidden="0"/>
    </dxf>
    <dxf>
      <font>
        <strike val="0"/>
        <outline val="0"/>
        <shadow val="0"/>
        <u val="none"/>
        <vertAlign val="baseline"/>
        <color rgb="FFF9BA32"/>
        <name val="Calibri"/>
        <family val="2"/>
        <scheme val="minor"/>
      </font>
      <fill>
        <patternFill patternType="solid">
          <fgColor indexed="64"/>
          <bgColor rgb="FF32384D"/>
        </patternFill>
      </fill>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3743705557422"/>
        </right>
        <top style="thin">
          <color theme="0" tint="-0.14993743705557422"/>
        </top>
        <bottom style="thin">
          <color theme="0" tint="-0.14993743705557422"/>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strike val="0"/>
        <outline val="0"/>
        <shadow val="0"/>
        <u val="none"/>
        <vertAlign val="baseline"/>
        <sz val="12"/>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style="thin">
          <color theme="0" tint="-0.14990691854609822"/>
        </left>
        <right style="thin">
          <color theme="0" tint="-0.14990691854609822"/>
        </right>
        <top/>
        <bottom/>
      </border>
      <protection locked="1" hidden="0"/>
    </dxf>
    <dxf>
      <border diagonalUp="0" diagonalDown="0">
        <left/>
        <right/>
        <top/>
        <bottom/>
      </border>
    </dxf>
    <dxf>
      <font>
        <b val="0"/>
        <i val="0"/>
        <strike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wrapText="0" indent="1" justifyLastLine="0" shrinkToFit="0" readingOrder="0"/>
      <protection locked="1" hidden="0"/>
    </dxf>
    <dxf>
      <border outline="0">
        <bottom style="thin">
          <color theme="0" tint="-0.14996795556505021"/>
        </bottom>
      </border>
    </dxf>
    <dxf>
      <fill>
        <patternFill patternType="solid">
          <fgColor indexed="64"/>
          <bgColor rgb="FF32384D"/>
        </patternFill>
      </fill>
    </dxf>
    <dxf>
      <font>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93743705557422"/>
        </bottom>
      </border>
      <protection locked="1" hidden="0"/>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93743705557422"/>
        </bottom>
      </border>
      <protection locked="1" hidden="0"/>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top style="thin">
          <color theme="0" tint="-0.14996795556505021"/>
        </top>
      </border>
    </dxf>
    <dxf>
      <font>
        <strike val="0"/>
        <outline val="0"/>
        <shadow val="0"/>
        <u val="none"/>
        <vertAlign val="baseline"/>
        <sz val="12"/>
        <color rgb="FFF9BA32"/>
        <name val="Calibri"/>
        <family val="2"/>
        <scheme val="minor"/>
      </font>
      <fill>
        <patternFill patternType="solid">
          <fgColor indexed="64"/>
          <bgColor rgb="FF32384D"/>
        </patternFill>
      </fill>
      <alignment horizontal="left" vertical="center" textRotation="0" wrapText="0" indent="0" justifyLastLine="0" shrinkToFit="0" readingOrder="0"/>
      <border diagonalUp="0" diagonalDown="0" outline="0">
        <left style="thin">
          <color theme="0" tint="-0.14990691854609822"/>
        </left>
        <right style="thin">
          <color theme="0" tint="-0.14990691854609822"/>
        </right>
        <top/>
        <bottom/>
      </border>
      <protection locked="1" hidden="0"/>
    </dxf>
    <dxf>
      <border diagonalUp="0" diagonalDown="0">
        <left/>
        <right/>
        <top/>
        <bottom/>
      </border>
    </dxf>
    <dxf>
      <font>
        <strike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wrapText="0" indent="0" justifyLastLine="0" shrinkToFit="0" readingOrder="0"/>
      <protection locked="1" hidden="0"/>
    </dxf>
    <dxf>
      <border>
        <bottom style="thin">
          <color theme="0" tint="-0.14996795556505021"/>
        </bottom>
      </border>
    </dxf>
    <dxf>
      <font>
        <b val="0"/>
        <i val="0"/>
        <strike val="0"/>
        <condense val="0"/>
        <extend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wrapText="0" indent="0" justifyLastLine="0" shrinkToFit="0" readingOrder="0"/>
      <border diagonalUp="0" diagonalDown="0" outline="0">
        <left style="thin">
          <color theme="0" tint="-0.14996795556505021"/>
        </left>
        <right style="thin">
          <color theme="0" tint="-0.14996795556505021"/>
        </right>
        <top/>
        <bottom/>
      </border>
      <protection locked="1" hidden="0"/>
    </dxf>
    <dxf>
      <font>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8764000366222"/>
        </bottom>
      </border>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8764000366222"/>
        </bottom>
      </border>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strike val="0"/>
        <outline val="0"/>
        <shadow val="0"/>
        <u val="none"/>
        <vertAlign val="baseline"/>
        <sz val="12"/>
        <color rgb="FFF8F1E5"/>
        <name val="Calibri"/>
        <family val="2"/>
        <scheme val="minor"/>
      </font>
      <fill>
        <patternFill patternType="solid">
          <fgColor indexed="64"/>
          <bgColor rgb="FF32384D"/>
        </patternFill>
      </fill>
      <alignment horizontal="general" vertical="center" textRotation="0" wrapText="0" indent="0"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top style="thin">
          <color theme="0" tint="-0.14996795556505021"/>
        </top>
      </border>
    </dxf>
    <dxf>
      <font>
        <strike val="0"/>
        <outline val="0"/>
        <shadow val="0"/>
        <u val="none"/>
        <vertAlign val="baseline"/>
        <color rgb="FFF9BA32"/>
        <name val="Calibri"/>
        <family val="2"/>
        <scheme val="minor"/>
      </font>
      <fill>
        <patternFill patternType="solid">
          <fgColor indexed="64"/>
          <bgColor rgb="FF32384D"/>
        </patternFill>
      </fill>
    </dxf>
    <dxf>
      <border diagonalUp="0" diagonalDown="0">
        <left/>
        <right/>
        <top/>
        <bottom/>
      </border>
    </dxf>
    <dxf>
      <font>
        <strike val="0"/>
        <outline val="0"/>
        <shadow val="0"/>
        <u val="none"/>
        <vertAlign val="baseline"/>
        <sz val="12"/>
        <color theme="1" tint="0.24994659260841701"/>
        <name val="Calibri"/>
        <scheme val="minor"/>
      </font>
      <fill>
        <patternFill patternType="solid">
          <fgColor indexed="64"/>
          <bgColor rgb="FF32384D"/>
        </patternFill>
      </fill>
      <protection locked="1" hidden="0"/>
    </dxf>
    <dxf>
      <border>
        <bottom style="thin">
          <color theme="0" tint="-0.14996795556505021"/>
        </bottom>
      </border>
    </dxf>
    <dxf>
      <font>
        <b/>
        <i val="0"/>
        <strike val="0"/>
        <condense val="0"/>
        <extend val="0"/>
        <outline val="0"/>
        <shadow val="0"/>
        <u val="none"/>
        <vertAlign val="baseline"/>
        <sz val="14"/>
        <color theme="1" tint="0.34998626667073579"/>
        <name val="Calibri"/>
        <scheme val="minor"/>
      </fon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8764000366222"/>
        </bottom>
      </border>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0691854609822"/>
        </left>
        <right style="thin">
          <color theme="0" tint="-0.14990691854609822"/>
        </right>
        <top style="thin">
          <color theme="0" tint="-0.14996795556505021"/>
        </top>
        <bottom style="thin">
          <color theme="0" tint="-0.1498764000366222"/>
        </bottom>
      </border>
    </dxf>
    <dxf>
      <font>
        <b val="0"/>
        <i val="0"/>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top style="thin">
          <color theme="0" tint="-0.14996795556505021"/>
        </top>
      </border>
    </dxf>
    <dxf>
      <font>
        <strike val="0"/>
        <outline val="0"/>
        <shadow val="0"/>
        <u val="none"/>
        <vertAlign val="baseline"/>
        <color rgb="FFF9BA32"/>
        <name val="Calibri"/>
        <family val="2"/>
        <scheme val="minor"/>
      </font>
      <fill>
        <patternFill patternType="solid">
          <fgColor indexed="64"/>
          <bgColor rgb="FF32384D"/>
        </patternFill>
      </fill>
      <protection locked="1" hidden="0"/>
    </dxf>
    <dxf>
      <border diagonalUp="0" diagonalDown="0">
        <left/>
        <right/>
        <bottom/>
      </border>
    </dxf>
    <dxf>
      <font>
        <b val="0"/>
        <i val="0"/>
        <strike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indent="1" justifyLastLine="0" shrinkToFit="0" readingOrder="0"/>
      <protection locked="1" hidden="0"/>
    </dxf>
    <dxf>
      <border outline="0">
        <bottom style="thin">
          <color theme="0" tint="-0.14996795556505021"/>
        </bottom>
      </border>
    </dxf>
    <dxf>
      <fill>
        <patternFill patternType="solid">
          <fgColor indexed="64"/>
          <bgColor rgb="FF32384D"/>
        </patternFill>
      </fill>
      <protection locked="1" hidden="0"/>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top style="thin">
          <color theme="0" tint="-0.14996795556505021"/>
        </top>
        <bottom style="thin">
          <color theme="0" tint="-0.14996795556505021"/>
        </bottom>
      </border>
      <protection locked="1"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strike val="0"/>
        <outline val="0"/>
        <shadow val="0"/>
        <u val="none"/>
        <vertAlign val="baseline"/>
        <sz val="12"/>
        <color rgb="FF32384D"/>
        <name val="Calibri"/>
        <family val="2"/>
        <scheme val="minor"/>
      </font>
      <fill>
        <patternFill patternType="solid">
          <fgColor indexed="64"/>
          <bgColor rgb="FFF8F1E5"/>
        </patternFill>
      </fill>
      <border outline="0">
        <left style="thin">
          <color theme="0" tint="-0.14996795556505021"/>
        </left>
      </border>
      <protection locked="0"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3743705557422"/>
        </bottom>
      </border>
      <protection locked="1" hidden="0"/>
    </dxf>
    <dxf>
      <font>
        <strike val="0"/>
        <outline val="0"/>
        <shadow val="0"/>
        <u val="none"/>
        <vertAlign val="baseline"/>
        <sz val="12"/>
        <color rgb="FF32384D"/>
        <name val="Calibri"/>
        <family val="2"/>
        <scheme val="minor"/>
      </font>
      <fill>
        <patternFill patternType="solid">
          <fgColor indexed="64"/>
          <bgColor rgb="FFF8F1E5"/>
        </patternFill>
      </fill>
      <border outline="0">
        <right style="thin">
          <color theme="0" tint="-0.14996795556505021"/>
        </right>
      </border>
      <protection locked="0" hidden="0"/>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6795556505021"/>
        </right>
        <top style="thin">
          <color theme="0" tint="-0.14996795556505021"/>
        </top>
        <bottom style="thin">
          <color theme="0" tint="-0.14996795556505021"/>
        </bottom>
      </border>
      <protection locked="1" hidden="0"/>
    </dxf>
    <dxf>
      <border outline="0">
        <top style="thin">
          <color theme="0" tint="-0.14996795556505021"/>
        </top>
      </border>
    </dxf>
    <dxf>
      <font>
        <strike val="0"/>
        <outline val="0"/>
        <shadow val="0"/>
        <u val="none"/>
        <vertAlign val="baseline"/>
        <color rgb="FFF9BA32"/>
        <name val="Calibri"/>
        <family val="2"/>
        <scheme val="minor"/>
      </font>
      <fill>
        <patternFill patternType="solid">
          <fgColor indexed="64"/>
          <bgColor rgb="FF32384D"/>
        </patternFill>
      </fill>
      <protection locked="1" hidden="0"/>
    </dxf>
    <dxf>
      <border diagonalUp="0" diagonalDown="0">
        <left/>
        <right/>
        <top style="thin">
          <color theme="8"/>
        </top>
        <bottom/>
      </border>
    </dxf>
    <dxf>
      <font>
        <b val="0"/>
        <i val="0"/>
        <strike val="0"/>
        <outline val="0"/>
        <shadow val="0"/>
        <u val="none"/>
        <vertAlign val="baseline"/>
        <sz val="12"/>
        <color theme="1" tint="0.34998626667073579"/>
        <name val="Calibri"/>
        <scheme val="minor"/>
      </font>
      <fill>
        <patternFill patternType="solid">
          <fgColor indexed="64"/>
          <bgColor rgb="FF32384D"/>
        </patternFill>
      </fill>
      <alignment horizontal="left" vertical="center" textRotation="0" indent="1" justifyLastLine="0" shrinkToFit="0" readingOrder="0"/>
      <protection locked="1" hidden="0"/>
    </dxf>
    <dxf>
      <border>
        <bottom style="thin">
          <color theme="0" tint="-0.14996795556505021"/>
        </bottom>
      </border>
    </dxf>
    <dxf>
      <font>
        <b/>
        <i val="0"/>
        <strike val="0"/>
        <outline val="0"/>
        <shadow val="0"/>
        <u val="none"/>
        <vertAlign val="baseline"/>
        <sz val="14"/>
        <color theme="1" tint="0.34998626667073579"/>
        <name val="Calibri"/>
        <scheme val="minor"/>
      </font>
      <fill>
        <patternFill patternType="solid">
          <fgColor indexed="64"/>
          <bgColor rgb="FF32384D"/>
        </patternFill>
      </fill>
      <alignment horizontal="left" vertical="center" textRotation="0" wrapText="0" indent="1" justifyLastLine="0" shrinkToFit="0" readingOrder="0"/>
      <border diagonalUp="0" diagonalDown="0" outline="0">
        <left style="thin">
          <color theme="0" tint="-0.14996795556505021"/>
        </left>
        <right style="thin">
          <color theme="0" tint="-0.14996795556505021"/>
        </right>
        <top/>
        <bottom/>
      </border>
      <protection locked="1" hidden="0"/>
    </dxf>
    <dxf>
      <font>
        <b/>
        <i val="0"/>
        <strike val="0"/>
        <condense val="0"/>
        <extend val="0"/>
        <outline val="0"/>
        <shadow val="0"/>
        <u val="none"/>
        <vertAlign val="baseline"/>
        <sz val="12"/>
        <color rgb="FFF9BA32"/>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3743705557422"/>
        </left>
        <right/>
        <top style="thin">
          <color theme="0" tint="-0.14996795556505021"/>
        </top>
        <bottom style="thin">
          <color theme="0" tint="-0.14996795556505021"/>
        </bottom>
      </border>
    </dxf>
    <dxf>
      <font>
        <b val="0"/>
        <i val="0"/>
        <strike val="0"/>
        <outline val="0"/>
        <shadow val="0"/>
        <u val="none"/>
        <vertAlign val="baseline"/>
        <sz val="12"/>
        <color rgb="FFF8F1E5"/>
        <name val="Calibri"/>
        <family val="2"/>
        <scheme val="minor"/>
      </font>
      <numFmt numFmtId="167" formatCode="#,##0.00\ &quot;€&quot;"/>
      <fill>
        <patternFill patternType="solid">
          <fgColor indexed="64"/>
          <bgColor rgb="FF32384D"/>
        </patternFill>
      </fill>
      <alignment horizontal="center" vertical="center" textRotation="0" wrapText="0" indent="0" justifyLastLine="0" shrinkToFit="0" readingOrder="0"/>
      <border diagonalUp="0" diagonalDown="0" outline="0">
        <left style="thin">
          <color theme="0" tint="-0.14993743705557422"/>
        </left>
        <right/>
        <top style="thin">
          <color theme="0" tint="-0.14993743705557422"/>
        </top>
        <bottom style="thin">
          <color theme="0" tint="-0.14993743705557422"/>
        </bottom>
      </border>
      <protection locked="1" hidden="0"/>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strike val="0"/>
        <outline val="0"/>
        <shadow val="0"/>
        <u val="none"/>
        <vertAlign val="baseline"/>
        <sz val="12"/>
        <color rgb="FF32384D"/>
        <name val="Calibri"/>
        <family val="2"/>
        <scheme val="minor"/>
      </font>
      <numFmt numFmtId="167" formatCode="#,##0.00\ &quot;€&quot;"/>
      <fill>
        <patternFill patternType="solid">
          <fgColor indexed="64"/>
          <bgColor rgb="FFF8F1E5"/>
        </patternFill>
      </fill>
      <alignment horizontal="center" vertical="center" textRotation="0" wrapText="0"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i val="0"/>
        <strike val="0"/>
        <condense val="0"/>
        <extend val="0"/>
        <outline val="0"/>
        <shadow val="0"/>
        <u val="none"/>
        <vertAlign val="baseline"/>
        <sz val="14"/>
        <color rgb="FFF9BA32"/>
        <name val="Calibri"/>
        <family val="2"/>
        <scheme val="minor"/>
      </font>
      <fill>
        <patternFill patternType="solid">
          <fgColor indexed="64"/>
          <bgColor rgb="FF32384D"/>
        </patternFill>
      </fill>
      <alignment horizontal="left" vertical="center" textRotation="0" wrapText="0" indent="1" justifyLastLine="0" shrinkToFit="0" readingOrder="0"/>
      <border diagonalUp="0" diagonalDown="0" outline="0">
        <left/>
        <right style="thin">
          <color theme="0" tint="-0.14993743705557422"/>
        </right>
        <top style="thin">
          <color theme="0" tint="-0.14996795556505021"/>
        </top>
        <bottom style="thin">
          <color theme="0" tint="-0.14996795556505021"/>
        </bottom>
      </border>
    </dxf>
    <dxf>
      <font>
        <b val="0"/>
        <i val="0"/>
        <strike val="0"/>
        <outline val="0"/>
        <shadow val="0"/>
        <u val="none"/>
        <vertAlign val="baseline"/>
        <sz val="12"/>
        <color rgb="FFF8F1E5"/>
        <name val="Calibri"/>
        <family val="2"/>
        <scheme val="minor"/>
      </font>
      <fill>
        <patternFill patternType="solid">
          <fgColor indexed="64"/>
          <bgColor rgb="FF32384D"/>
        </patternFill>
      </fill>
      <border diagonalUp="0" diagonalDown="0" outline="0">
        <left/>
        <right style="thin">
          <color theme="0" tint="-0.14993743705557422"/>
        </right>
      </border>
      <protection locked="1" hidden="0"/>
    </dxf>
    <dxf>
      <border outline="0">
        <top style="thin">
          <color theme="0" tint="-0.14996795556505021"/>
        </top>
      </border>
    </dxf>
    <dxf>
      <font>
        <strike val="0"/>
        <outline val="0"/>
        <shadow val="0"/>
        <u val="none"/>
        <vertAlign val="baseline"/>
        <color rgb="FFF9BA32"/>
        <name val="Calibri"/>
        <family val="2"/>
        <scheme val="minor"/>
      </font>
      <fill>
        <patternFill patternType="solid">
          <fgColor indexed="64"/>
          <bgColor rgb="FF32384D"/>
        </patternFill>
      </fill>
    </dxf>
    <dxf>
      <border diagonalUp="0" diagonalDown="0">
        <left/>
        <right/>
        <top style="thin">
          <color theme="8"/>
        </top>
        <bottom style="thin">
          <color theme="0" tint="-0.14996795556505021"/>
        </bottom>
      </border>
    </dxf>
    <dxf>
      <font>
        <b val="0"/>
        <i val="0"/>
        <strike val="0"/>
        <outline val="0"/>
        <shadow val="0"/>
        <u val="none"/>
        <vertAlign val="baseline"/>
        <sz val="12"/>
        <color rgb="FFF8F1E5"/>
        <name val="Calibri"/>
        <family val="2"/>
        <scheme val="minor"/>
      </font>
      <fill>
        <patternFill patternType="solid">
          <fgColor indexed="64"/>
          <bgColor rgb="FF32384D"/>
        </patternFill>
      </fill>
      <alignment horizontal="left" vertical="center" textRotation="0" wrapText="0" indent="1" justifyLastLine="0" shrinkToFit="0" readingOrder="0"/>
      <protection locked="1" hidden="0"/>
    </dxf>
    <dxf>
      <border outline="0">
        <bottom style="thin">
          <color theme="0" tint="-0.14996795556505021"/>
        </bottom>
      </border>
    </dxf>
    <dxf>
      <fill>
        <patternFill patternType="solid">
          <fgColor indexed="64"/>
          <bgColor rgb="FF32384D"/>
        </patternFill>
      </fill>
      <protection locked="1" hidden="0"/>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val="0"/>
        <i val="0"/>
        <color theme="1"/>
      </font>
    </dxf>
    <dxf>
      <font>
        <b/>
        <color theme="1"/>
      </font>
      <border>
        <top style="double">
          <color theme="4"/>
        </top>
      </border>
    </dxf>
    <dxf>
      <font>
        <b/>
        <color theme="0"/>
      </font>
      <fill>
        <patternFill patternType="solid">
          <fgColor theme="4"/>
          <bgColor theme="4" tint="-0.499984740745262"/>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ill>
        <patternFill patternType="solid">
          <fgColor theme="2" tint="0.59996337778862885"/>
          <bgColor theme="0" tint="-4.9989318521683403E-2"/>
        </patternFill>
      </fill>
    </dxf>
    <dxf>
      <fill>
        <patternFill patternType="solid">
          <fgColor theme="2" tint="0.79995117038483843"/>
          <bgColor theme="2"/>
        </patternFill>
      </fill>
    </dxf>
    <dxf>
      <border>
        <top style="thin">
          <color theme="6" tint="-0.499984740745262"/>
        </top>
      </border>
    </dxf>
    <dxf>
      <font>
        <color theme="2" tint="0.79995117038483843"/>
      </font>
      <fill>
        <patternFill>
          <bgColor theme="6" tint="-0.499984740745262"/>
        </patternFill>
      </fill>
      <border>
        <top style="thick">
          <color theme="0"/>
        </top>
      </border>
    </dxf>
    <dxf>
      <font>
        <b val="0"/>
        <i val="0"/>
        <color auto="1"/>
      </font>
      <fill>
        <patternFill patternType="none">
          <bgColor auto="1"/>
        </patternFill>
      </fill>
      <border diagonalUp="0" diagonalDown="0">
        <left/>
        <right/>
        <top/>
        <bottom style="thin">
          <color theme="6" tint="-0.499984740745262"/>
        </bottom>
        <vertical/>
        <horizontal/>
      </border>
    </dxf>
  </dxfs>
  <tableStyles count="2" defaultTableStyle="TableStyleMedium2" defaultPivotStyle="PivotStyleLight16">
    <tableStyle name="Carnet d’adresses" pivot="0" count="5" xr9:uid="{00000000-0011-0000-FFFF-FFFF00000000}">
      <tableStyleElement type="wholeTable" dxfId="574"/>
      <tableStyleElement type="headerRow" dxfId="573"/>
      <tableStyleElement type="totalRow" dxfId="572"/>
      <tableStyleElement type="firstRowStripe" dxfId="571"/>
      <tableStyleElement type="secondRowStripe" dxfId="570"/>
    </tableStyle>
    <tableStyle name="Budget personnel mensuel" pivot="0" count="7" xr9:uid="{DF2684C2-C435-47FA-9646-E632C3AE8948}">
      <tableStyleElement type="wholeTable" dxfId="569"/>
      <tableStyleElement type="headerRow" dxfId="568"/>
      <tableStyleElement type="totalRow" dxfId="567"/>
      <tableStyleElement type="firstColumn" dxfId="566"/>
      <tableStyleElement type="lastColumn" dxfId="565"/>
      <tableStyleElement type="firstRowStripe" dxfId="564"/>
      <tableStyleElement type="firstColumnStripe" dxfId="563"/>
    </tableStyle>
  </tableStyles>
  <colors>
    <mruColors>
      <color rgb="FFF8F1E5"/>
      <color rgb="FF32384D"/>
      <color rgb="FFF9BA32"/>
      <color rgb="FFFBD889"/>
      <color rgb="FFFAC858"/>
      <color rgb="FFEBD7B3"/>
      <color rgb="FF5D6891"/>
      <color rgb="FFCCD0DE"/>
      <color rgb="FF868FB0"/>
      <color rgb="FF555A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hyperlink" Target="https://www.lecomparateurassurance.com/4-devis-auto/10582-auto" TargetMode="External"/><Relationship Id="rId13" Type="http://schemas.openxmlformats.org/officeDocument/2006/relationships/image" Target="../media/image13.jpeg"/><Relationship Id="rId18" Type="http://schemas.openxmlformats.org/officeDocument/2006/relationships/hyperlink" Target="https://www.quechoisir.org/comparateur-energie-n21201/" TargetMode="External"/><Relationship Id="rId26" Type="http://schemas.openxmlformats.org/officeDocument/2006/relationships/hyperlink" Target="https://selectra.info/telecom/guides/comparatifs/offre-internet-top10" TargetMode="External"/><Relationship Id="rId3" Type="http://schemas.openxmlformats.org/officeDocument/2006/relationships/image" Target="../media/image7.png"/><Relationship Id="rId21" Type="http://schemas.openxmlformats.org/officeDocument/2006/relationships/image" Target="../media/image17.jpeg"/><Relationship Id="rId7" Type="http://schemas.openxmlformats.org/officeDocument/2006/relationships/image" Target="../media/image10.png"/><Relationship Id="rId12" Type="http://schemas.openxmlformats.org/officeDocument/2006/relationships/hyperlink" Target="https://www.10meilleuresbanques.fr/?utm_source=google&amp;kw=comparatif%20banque%20en%20ligne&amp;c=513117996686&amp;t=search&amp;p=&amp;m=e&amp;adpos=&amp;dev=c&amp;devmod=&amp;mobval=0&amp;network=g&amp;campaignid=11175502522&amp;adgroupid=109079654389&amp;targetid=kwd-2771518573&amp;interest=&amp;physical=1006094&amp;feedid=&amp;a=886&amp;gclid=CjwKCAiAgvKQBhBbEiwAaPQw3NzbtNSfu1FQKS6EMUiLeGgaK7fqHK8wHRlfyKyFDIsGrRIhxSHk8BoCHlUQAvD_BwE" TargetMode="External"/><Relationship Id="rId17" Type="http://schemas.openxmlformats.org/officeDocument/2006/relationships/image" Target="../media/image15.png"/><Relationship Id="rId25" Type="http://schemas.openxmlformats.org/officeDocument/2006/relationships/image" Target="../media/image19.png"/><Relationship Id="rId2" Type="http://schemas.openxmlformats.org/officeDocument/2006/relationships/image" Target="../media/image6.svg"/><Relationship Id="rId16" Type="http://schemas.openxmlformats.org/officeDocument/2006/relationships/hyperlink" Target="https://selectra.info/energie" TargetMode="External"/><Relationship Id="rId20" Type="http://schemas.openxmlformats.org/officeDocument/2006/relationships/hyperlink" Target="https://www.monpetitforfait.com/" TargetMode="External"/><Relationship Id="rId1" Type="http://schemas.openxmlformats.org/officeDocument/2006/relationships/image" Target="../media/image5.png"/><Relationship Id="rId6" Type="http://schemas.openxmlformats.org/officeDocument/2006/relationships/hyperlink" Target="https://bour.so/7hWKXeAWI6" TargetMode="External"/><Relationship Id="rId11" Type="http://schemas.openxmlformats.org/officeDocument/2006/relationships/image" Target="../media/image12.jpeg"/><Relationship Id="rId24" Type="http://schemas.openxmlformats.org/officeDocument/2006/relationships/hyperlink" Target="https://www.quechoisir.org/comparateur-fai-n21205/" TargetMode="External"/><Relationship Id="rId5" Type="http://schemas.openxmlformats.org/officeDocument/2006/relationships/image" Target="../media/image9.png"/><Relationship Id="rId15" Type="http://schemas.openxmlformats.org/officeDocument/2006/relationships/image" Target="../media/image14.jpeg"/><Relationship Id="rId23" Type="http://schemas.openxmlformats.org/officeDocument/2006/relationships/image" Target="../media/image18.jpeg"/><Relationship Id="rId10" Type="http://schemas.openxmlformats.org/officeDocument/2006/relationships/hyperlink" Target="https://www.lesfurets.com/assurance-auto" TargetMode="External"/><Relationship Id="rId19" Type="http://schemas.openxmlformats.org/officeDocument/2006/relationships/image" Target="../media/image16.png"/><Relationship Id="rId4" Type="http://schemas.openxmlformats.org/officeDocument/2006/relationships/image" Target="../media/image8.svg"/><Relationship Id="rId9" Type="http://schemas.openxmlformats.org/officeDocument/2006/relationships/image" Target="../media/image11.jpeg"/><Relationship Id="rId14" Type="http://schemas.openxmlformats.org/officeDocument/2006/relationships/hyperlink" Target="https://www.moneyvox.fr/banque-en-ligne/" TargetMode="External"/><Relationship Id="rId22" Type="http://schemas.openxmlformats.org/officeDocument/2006/relationships/hyperlink" Target="https://www.phonandroid.com/comparatif-forfaits-mobiles-comment-bien-choisir-forfait-telephone-selon-besoins.html" TargetMode="External"/><Relationship Id="rId27"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1</xdr:col>
      <xdr:colOff>398368</xdr:colOff>
      <xdr:row>1</xdr:row>
      <xdr:rowOff>216366</xdr:rowOff>
    </xdr:from>
    <xdr:to>
      <xdr:col>1</xdr:col>
      <xdr:colOff>1084168</xdr:colOff>
      <xdr:row>1</xdr:row>
      <xdr:rowOff>902166</xdr:rowOff>
    </xdr:to>
    <xdr:pic>
      <xdr:nvPicPr>
        <xdr:cNvPr id="4" name="Graphisme 3" descr="Argent">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7662" y="462895"/>
          <a:ext cx="685800" cy="685800"/>
        </a:xfrm>
        <a:prstGeom prst="rect">
          <a:avLst/>
        </a:prstGeom>
      </xdr:spPr>
    </xdr:pic>
    <xdr:clientData/>
  </xdr:twoCellAnchor>
  <xdr:twoCellAnchor editAs="oneCell">
    <xdr:from>
      <xdr:col>6</xdr:col>
      <xdr:colOff>3007178</xdr:colOff>
      <xdr:row>0</xdr:row>
      <xdr:rowOff>217715</xdr:rowOff>
    </xdr:from>
    <xdr:to>
      <xdr:col>10</xdr:col>
      <xdr:colOff>47357</xdr:colOff>
      <xdr:row>5</xdr:row>
      <xdr:rowOff>303077</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5406" t="30637" r="15616" b="30847"/>
        <a:stretch/>
      </xdr:blipFill>
      <xdr:spPr>
        <a:xfrm>
          <a:off x="10790464" y="217715"/>
          <a:ext cx="4320000" cy="2412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545704</xdr:colOff>
      <xdr:row>0</xdr:row>
      <xdr:rowOff>19844</xdr:rowOff>
    </xdr:from>
    <xdr:to>
      <xdr:col>16</xdr:col>
      <xdr:colOff>2705704</xdr:colOff>
      <xdr:row>4</xdr:row>
      <xdr:rowOff>233748</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406" t="30637" r="15616" b="30847"/>
        <a:stretch/>
      </xdr:blipFill>
      <xdr:spPr>
        <a:xfrm>
          <a:off x="13176251" y="19844"/>
          <a:ext cx="2160000" cy="12060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18</xdr:row>
      <xdr:rowOff>85725</xdr:rowOff>
    </xdr:from>
    <xdr:to>
      <xdr:col>0</xdr:col>
      <xdr:colOff>461010</xdr:colOff>
      <xdr:row>20</xdr:row>
      <xdr:rowOff>127635</xdr:rowOff>
    </xdr:to>
    <xdr:pic>
      <xdr:nvPicPr>
        <xdr:cNvPr id="2" name="Graphisme 1" title="Graphisme">
          <a:extLst>
            <a:ext uri="{FF2B5EF4-FFF2-40B4-BE49-F238E27FC236}">
              <a16:creationId xmlns:a16="http://schemas.microsoft.com/office/drawing/2014/main" id="{2BB10B60-2416-4112-9137-BEE4E7750F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250" y="5705475"/>
          <a:ext cx="365760" cy="365760"/>
        </a:xfrm>
        <a:prstGeom prst="rect">
          <a:avLst/>
        </a:prstGeom>
      </xdr:spPr>
    </xdr:pic>
    <xdr:clientData/>
  </xdr:twoCellAnchor>
  <xdr:twoCellAnchor editAs="oneCell">
    <xdr:from>
      <xdr:col>0</xdr:col>
      <xdr:colOff>85725</xdr:colOff>
      <xdr:row>10</xdr:row>
      <xdr:rowOff>57150</xdr:rowOff>
    </xdr:from>
    <xdr:to>
      <xdr:col>0</xdr:col>
      <xdr:colOff>451485</xdr:colOff>
      <xdr:row>12</xdr:row>
      <xdr:rowOff>60960</xdr:rowOff>
    </xdr:to>
    <xdr:pic>
      <xdr:nvPicPr>
        <xdr:cNvPr id="15" name="Graphisme 3" title="Graphisme">
          <a:extLst>
            <a:ext uri="{FF2B5EF4-FFF2-40B4-BE49-F238E27FC236}">
              <a16:creationId xmlns:a16="http://schemas.microsoft.com/office/drawing/2014/main" id="{9C5B3C8F-8E63-417D-A0B6-9E8C037680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5725" y="1676400"/>
          <a:ext cx="365760" cy="365760"/>
        </a:xfrm>
        <a:prstGeom prst="rect">
          <a:avLst/>
        </a:prstGeom>
      </xdr:spPr>
    </xdr:pic>
    <xdr:clientData/>
  </xdr:twoCellAnchor>
  <xdr:twoCellAnchor editAs="oneCell">
    <xdr:from>
      <xdr:col>1</xdr:col>
      <xdr:colOff>95250</xdr:colOff>
      <xdr:row>0</xdr:row>
      <xdr:rowOff>114301</xdr:rowOff>
    </xdr:from>
    <xdr:to>
      <xdr:col>1</xdr:col>
      <xdr:colOff>2615250</xdr:colOff>
      <xdr:row>9</xdr:row>
      <xdr:rowOff>64083</xdr:rowOff>
    </xdr:to>
    <xdr:pic>
      <xdr:nvPicPr>
        <xdr:cNvPr id="30" name="Image 29">
          <a:extLst>
            <a:ext uri="{FF2B5EF4-FFF2-40B4-BE49-F238E27FC236}">
              <a16:creationId xmlns:a16="http://schemas.microsoft.com/office/drawing/2014/main" id="{1E24C034-8005-4A32-B430-BFA85E08AA1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5406" t="30637" r="15616" b="30847"/>
        <a:stretch/>
      </xdr:blipFill>
      <xdr:spPr>
        <a:xfrm>
          <a:off x="7315200" y="114301"/>
          <a:ext cx="2520000" cy="1407107"/>
        </a:xfrm>
        <a:prstGeom prst="rect">
          <a:avLst/>
        </a:prstGeom>
      </xdr:spPr>
    </xdr:pic>
    <xdr:clientData/>
  </xdr:twoCellAnchor>
  <xdr:twoCellAnchor editAs="oneCell">
    <xdr:from>
      <xdr:col>0</xdr:col>
      <xdr:colOff>523874</xdr:colOff>
      <xdr:row>12</xdr:row>
      <xdr:rowOff>142873</xdr:rowOff>
    </xdr:from>
    <xdr:to>
      <xdr:col>0</xdr:col>
      <xdr:colOff>1243874</xdr:colOff>
      <xdr:row>16</xdr:row>
      <xdr:rowOff>72298</xdr:rowOff>
    </xdr:to>
    <xdr:pic>
      <xdr:nvPicPr>
        <xdr:cNvPr id="6" name="Image 5">
          <a:hlinkClick xmlns:r="http://schemas.openxmlformats.org/officeDocument/2006/relationships" r:id="rId6"/>
          <a:extLst>
            <a:ext uri="{FF2B5EF4-FFF2-40B4-BE49-F238E27FC236}">
              <a16:creationId xmlns:a16="http://schemas.microsoft.com/office/drawing/2014/main" id="{073D6A9F-A8F7-40F8-8218-C1F141069E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3874" y="2124073"/>
          <a:ext cx="720000" cy="720000"/>
        </a:xfrm>
        <a:prstGeom prst="rect">
          <a:avLst/>
        </a:prstGeom>
      </xdr:spPr>
    </xdr:pic>
    <xdr:clientData/>
  </xdr:twoCellAnchor>
  <xdr:twoCellAnchor editAs="oneCell">
    <xdr:from>
      <xdr:col>0</xdr:col>
      <xdr:colOff>2809875</xdr:colOff>
      <xdr:row>21</xdr:row>
      <xdr:rowOff>161925</xdr:rowOff>
    </xdr:from>
    <xdr:to>
      <xdr:col>0</xdr:col>
      <xdr:colOff>3529875</xdr:colOff>
      <xdr:row>25</xdr:row>
      <xdr:rowOff>129450</xdr:rowOff>
    </xdr:to>
    <xdr:pic>
      <xdr:nvPicPr>
        <xdr:cNvPr id="12" name="Image 11">
          <a:hlinkClick xmlns:r="http://schemas.openxmlformats.org/officeDocument/2006/relationships" r:id="rId8"/>
          <a:extLst>
            <a:ext uri="{FF2B5EF4-FFF2-40B4-BE49-F238E27FC236}">
              <a16:creationId xmlns:a16="http://schemas.microsoft.com/office/drawing/2014/main" id="{2F8FA40D-000C-48B8-8219-D34D7EBA268A}"/>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7773" r="25978"/>
        <a:stretch/>
      </xdr:blipFill>
      <xdr:spPr>
        <a:xfrm>
          <a:off x="2809875" y="6410325"/>
          <a:ext cx="720000" cy="720000"/>
        </a:xfrm>
        <a:prstGeom prst="rect">
          <a:avLst/>
        </a:prstGeom>
      </xdr:spPr>
    </xdr:pic>
    <xdr:clientData/>
  </xdr:twoCellAnchor>
  <xdr:twoCellAnchor editAs="oneCell">
    <xdr:from>
      <xdr:col>0</xdr:col>
      <xdr:colOff>6391275</xdr:colOff>
      <xdr:row>21</xdr:row>
      <xdr:rowOff>152400</xdr:rowOff>
    </xdr:from>
    <xdr:to>
      <xdr:col>0</xdr:col>
      <xdr:colOff>7111275</xdr:colOff>
      <xdr:row>25</xdr:row>
      <xdr:rowOff>119925</xdr:rowOff>
    </xdr:to>
    <xdr:pic>
      <xdr:nvPicPr>
        <xdr:cNvPr id="14" name="Image 13">
          <a:hlinkClick xmlns:r="http://schemas.openxmlformats.org/officeDocument/2006/relationships" r:id="rId10"/>
          <a:extLst>
            <a:ext uri="{FF2B5EF4-FFF2-40B4-BE49-F238E27FC236}">
              <a16:creationId xmlns:a16="http://schemas.microsoft.com/office/drawing/2014/main" id="{8472904E-C389-4E98-A5EA-924D422774A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391275" y="6400800"/>
          <a:ext cx="720000" cy="720000"/>
        </a:xfrm>
        <a:prstGeom prst="rect">
          <a:avLst/>
        </a:prstGeom>
      </xdr:spPr>
    </xdr:pic>
    <xdr:clientData/>
  </xdr:twoCellAnchor>
  <xdr:twoCellAnchor editAs="oneCell">
    <xdr:from>
      <xdr:col>0</xdr:col>
      <xdr:colOff>2809875</xdr:colOff>
      <xdr:row>26</xdr:row>
      <xdr:rowOff>123825</xdr:rowOff>
    </xdr:from>
    <xdr:to>
      <xdr:col>0</xdr:col>
      <xdr:colOff>3529875</xdr:colOff>
      <xdr:row>30</xdr:row>
      <xdr:rowOff>91350</xdr:rowOff>
    </xdr:to>
    <xdr:pic>
      <xdr:nvPicPr>
        <xdr:cNvPr id="21" name="Image 20">
          <a:hlinkClick xmlns:r="http://schemas.openxmlformats.org/officeDocument/2006/relationships" r:id="rId12"/>
          <a:extLst>
            <a:ext uri="{FF2B5EF4-FFF2-40B4-BE49-F238E27FC236}">
              <a16:creationId xmlns:a16="http://schemas.microsoft.com/office/drawing/2014/main" id="{2960F5E5-5685-4270-B5EA-3240FB83229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809875" y="8315325"/>
          <a:ext cx="720000" cy="720000"/>
        </a:xfrm>
        <a:prstGeom prst="rect">
          <a:avLst/>
        </a:prstGeom>
      </xdr:spPr>
    </xdr:pic>
    <xdr:clientData/>
  </xdr:twoCellAnchor>
  <xdr:twoCellAnchor editAs="oneCell">
    <xdr:from>
      <xdr:col>0</xdr:col>
      <xdr:colOff>6391275</xdr:colOff>
      <xdr:row>26</xdr:row>
      <xdr:rowOff>133350</xdr:rowOff>
    </xdr:from>
    <xdr:to>
      <xdr:col>0</xdr:col>
      <xdr:colOff>7111275</xdr:colOff>
      <xdr:row>30</xdr:row>
      <xdr:rowOff>100875</xdr:rowOff>
    </xdr:to>
    <xdr:pic>
      <xdr:nvPicPr>
        <xdr:cNvPr id="24" name="Image 23">
          <a:hlinkClick xmlns:r="http://schemas.openxmlformats.org/officeDocument/2006/relationships" r:id="rId14"/>
          <a:extLst>
            <a:ext uri="{FF2B5EF4-FFF2-40B4-BE49-F238E27FC236}">
              <a16:creationId xmlns:a16="http://schemas.microsoft.com/office/drawing/2014/main" id="{6BD9C15A-B41D-431C-BEA2-DB4C8EC0A69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391275" y="8324850"/>
          <a:ext cx="720000" cy="720000"/>
        </a:xfrm>
        <a:prstGeom prst="rect">
          <a:avLst/>
        </a:prstGeom>
      </xdr:spPr>
    </xdr:pic>
    <xdr:clientData/>
  </xdr:twoCellAnchor>
  <xdr:twoCellAnchor editAs="oneCell">
    <xdr:from>
      <xdr:col>0</xdr:col>
      <xdr:colOff>2809875</xdr:colOff>
      <xdr:row>31</xdr:row>
      <xdr:rowOff>142875</xdr:rowOff>
    </xdr:from>
    <xdr:to>
      <xdr:col>0</xdr:col>
      <xdr:colOff>3529875</xdr:colOff>
      <xdr:row>35</xdr:row>
      <xdr:rowOff>110400</xdr:rowOff>
    </xdr:to>
    <xdr:pic>
      <xdr:nvPicPr>
        <xdr:cNvPr id="26" name="Image 25">
          <a:hlinkClick xmlns:r="http://schemas.openxmlformats.org/officeDocument/2006/relationships" r:id="rId16"/>
          <a:extLst>
            <a:ext uri="{FF2B5EF4-FFF2-40B4-BE49-F238E27FC236}">
              <a16:creationId xmlns:a16="http://schemas.microsoft.com/office/drawing/2014/main" id="{07C3A8FE-56CD-441B-B4B9-171CCF798DC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809875" y="9248775"/>
          <a:ext cx="720000" cy="720000"/>
        </a:xfrm>
        <a:prstGeom prst="rect">
          <a:avLst/>
        </a:prstGeom>
      </xdr:spPr>
    </xdr:pic>
    <xdr:clientData/>
  </xdr:twoCellAnchor>
  <xdr:twoCellAnchor editAs="oneCell">
    <xdr:from>
      <xdr:col>0</xdr:col>
      <xdr:colOff>6391275</xdr:colOff>
      <xdr:row>32</xdr:row>
      <xdr:rowOff>0</xdr:rowOff>
    </xdr:from>
    <xdr:to>
      <xdr:col>0</xdr:col>
      <xdr:colOff>7111275</xdr:colOff>
      <xdr:row>35</xdr:row>
      <xdr:rowOff>129450</xdr:rowOff>
    </xdr:to>
    <xdr:pic>
      <xdr:nvPicPr>
        <xdr:cNvPr id="28" name="Image 27">
          <a:hlinkClick xmlns:r="http://schemas.openxmlformats.org/officeDocument/2006/relationships" r:id="rId18"/>
          <a:extLst>
            <a:ext uri="{FF2B5EF4-FFF2-40B4-BE49-F238E27FC236}">
              <a16:creationId xmlns:a16="http://schemas.microsoft.com/office/drawing/2014/main" id="{950251E0-AF82-45C5-86B8-2E0451B1241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391275" y="9267825"/>
          <a:ext cx="720000" cy="720000"/>
        </a:xfrm>
        <a:prstGeom prst="rect">
          <a:avLst/>
        </a:prstGeom>
      </xdr:spPr>
    </xdr:pic>
    <xdr:clientData/>
  </xdr:twoCellAnchor>
  <xdr:oneCellAnchor>
    <xdr:from>
      <xdr:col>0</xdr:col>
      <xdr:colOff>2809875</xdr:colOff>
      <xdr:row>37</xdr:row>
      <xdr:rowOff>133350</xdr:rowOff>
    </xdr:from>
    <xdr:ext cx="720000" cy="720000"/>
    <xdr:pic>
      <xdr:nvPicPr>
        <xdr:cNvPr id="55" name="Image 54">
          <a:hlinkClick xmlns:r="http://schemas.openxmlformats.org/officeDocument/2006/relationships" r:id="rId20"/>
          <a:extLst>
            <a:ext uri="{FF2B5EF4-FFF2-40B4-BE49-F238E27FC236}">
              <a16:creationId xmlns:a16="http://schemas.microsoft.com/office/drawing/2014/main" id="{23D3232D-0755-438C-B395-9B8A9DC3CBF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809875" y="7258050"/>
          <a:ext cx="720000" cy="720000"/>
        </a:xfrm>
        <a:prstGeom prst="rect">
          <a:avLst/>
        </a:prstGeom>
      </xdr:spPr>
    </xdr:pic>
    <xdr:clientData/>
  </xdr:oneCellAnchor>
  <xdr:oneCellAnchor>
    <xdr:from>
      <xdr:col>0</xdr:col>
      <xdr:colOff>6391275</xdr:colOff>
      <xdr:row>37</xdr:row>
      <xdr:rowOff>123825</xdr:rowOff>
    </xdr:from>
    <xdr:ext cx="720000" cy="720000"/>
    <xdr:pic>
      <xdr:nvPicPr>
        <xdr:cNvPr id="56" name="Image 55">
          <a:hlinkClick xmlns:r="http://schemas.openxmlformats.org/officeDocument/2006/relationships" r:id="rId22"/>
          <a:extLst>
            <a:ext uri="{FF2B5EF4-FFF2-40B4-BE49-F238E27FC236}">
              <a16:creationId xmlns:a16="http://schemas.microsoft.com/office/drawing/2014/main" id="{223D67B0-5FCC-444A-BABE-EBF058032B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391275" y="7248525"/>
          <a:ext cx="720000" cy="720000"/>
        </a:xfrm>
        <a:prstGeom prst="rect">
          <a:avLst/>
        </a:prstGeom>
      </xdr:spPr>
    </xdr:pic>
    <xdr:clientData/>
  </xdr:oneCellAnchor>
  <xdr:twoCellAnchor editAs="oneCell">
    <xdr:from>
      <xdr:col>0</xdr:col>
      <xdr:colOff>2809875</xdr:colOff>
      <xdr:row>43</xdr:row>
      <xdr:rowOff>9525</xdr:rowOff>
    </xdr:from>
    <xdr:to>
      <xdr:col>0</xdr:col>
      <xdr:colOff>3529875</xdr:colOff>
      <xdr:row>46</xdr:row>
      <xdr:rowOff>100875</xdr:rowOff>
    </xdr:to>
    <xdr:pic>
      <xdr:nvPicPr>
        <xdr:cNvPr id="32" name="Image 31">
          <a:hlinkClick xmlns:r="http://schemas.openxmlformats.org/officeDocument/2006/relationships" r:id="rId24"/>
          <a:extLst>
            <a:ext uri="{FF2B5EF4-FFF2-40B4-BE49-F238E27FC236}">
              <a16:creationId xmlns:a16="http://schemas.microsoft.com/office/drawing/2014/main" id="{B32182C7-8F81-4FBC-9358-3820575407B8}"/>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809875" y="11191875"/>
          <a:ext cx="720000" cy="720000"/>
        </a:xfrm>
        <a:prstGeom prst="rect">
          <a:avLst/>
        </a:prstGeom>
      </xdr:spPr>
    </xdr:pic>
    <xdr:clientData/>
  </xdr:twoCellAnchor>
  <xdr:twoCellAnchor editAs="oneCell">
    <xdr:from>
      <xdr:col>0</xdr:col>
      <xdr:colOff>6391275</xdr:colOff>
      <xdr:row>43</xdr:row>
      <xdr:rowOff>0</xdr:rowOff>
    </xdr:from>
    <xdr:to>
      <xdr:col>0</xdr:col>
      <xdr:colOff>7111275</xdr:colOff>
      <xdr:row>46</xdr:row>
      <xdr:rowOff>91350</xdr:rowOff>
    </xdr:to>
    <xdr:pic>
      <xdr:nvPicPr>
        <xdr:cNvPr id="34" name="Image 33">
          <a:hlinkClick xmlns:r="http://schemas.openxmlformats.org/officeDocument/2006/relationships" r:id="rId26"/>
          <a:extLst>
            <a:ext uri="{FF2B5EF4-FFF2-40B4-BE49-F238E27FC236}">
              <a16:creationId xmlns:a16="http://schemas.microsoft.com/office/drawing/2014/main" id="{EE4707B4-4D0E-4D5C-82AD-2A8BBF401C97}"/>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6391275" y="11182350"/>
          <a:ext cx="720000" cy="72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ogement" displayName="Logement" ref="B17:E28" totalsRowCount="1" headerRowDxfId="562" dataDxfId="560" totalsRowDxfId="558" headerRowBorderDxfId="561" tableBorderDxfId="559" totalsRowBorderDxfId="557">
  <tableColumns count="4">
    <tableColumn id="1" xr3:uid="{00000000-0010-0000-0000-000001000000}" name="Colonne1" totalsRowLabel="Sous-total" dataDxfId="556" totalsRowDxfId="555"/>
    <tableColumn id="2" xr3:uid="{00000000-0010-0000-0000-000002000000}" name="Coût estimé" totalsRowFunction="sum" dataDxfId="554"/>
    <tableColumn id="3" xr3:uid="{00000000-0010-0000-0000-000003000000}" name="Coût réel" totalsRowFunction="sum" dataDxfId="553"/>
    <tableColumn id="4" xr3:uid="{00000000-0010-0000-0000-000004000000}" name="Écart" totalsRowFunction="sum" dataDxfId="552" totalsRowDxfId="551">
      <calculatedColumnFormula>Logement[[#This Row],[Coût estimé]]-Logement[[#This Row],[Coût réel]]</calculatedColumnFormula>
    </tableColumn>
  </tableColumns>
  <tableStyleInfo name="TableStyleLight4" showFirstColumn="0" showLastColumn="0" showRowStripes="1" showColumnStripes="0"/>
  <extLst>
    <ext xmlns:x14="http://schemas.microsoft.com/office/spreadsheetml/2009/9/main" uri="{504A1905-F514-4f6f-8877-14C23A59335A}">
      <x14:table altTextSummary="Entrez les coûts de logement réels et projetés dans ce tableau. La différence est calculée automatiquemen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Animaux" displayName="Animaux" ref="B60:E66" totalsRowCount="1" headerRowDxfId="456" dataDxfId="454" totalsRowDxfId="453" headerRowBorderDxfId="455" totalsRowBorderDxfId="452">
  <autoFilter ref="B60:E65" xr:uid="{00000000-0009-0000-0100-00000A000000}">
    <filterColumn colId="0" hiddenButton="1"/>
    <filterColumn colId="1" hiddenButton="1"/>
    <filterColumn colId="2" hiddenButton="1"/>
    <filterColumn colId="3" hiddenButton="1"/>
  </autoFilter>
  <tableColumns count="4">
    <tableColumn id="1" xr3:uid="{00000000-0010-0000-0900-000001000000}" name="Colonne1" totalsRowLabel="Sous-total" dataDxfId="451"/>
    <tableColumn id="2" xr3:uid="{00000000-0010-0000-0900-000002000000}" name="Coût estimé" totalsRowFunction="sum" dataDxfId="450" totalsRowDxfId="449"/>
    <tableColumn id="3" xr3:uid="{00000000-0010-0000-0900-000003000000}" name="Coût réel" totalsRowFunction="sum" dataDxfId="448" totalsRowDxfId="447"/>
    <tableColumn id="4" xr3:uid="{00000000-0010-0000-0900-000004000000}" name="Écart" totalsRowFunction="sum" dataDxfId="446">
      <calculatedColumnFormula>Animaux[[#This Row],[Coût estimé]]-Animaux[[#This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animaux de compagnie réels et projetés dans ce tableau. La différence est calculée automatiquemen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Juridique" displayName="Juridique" ref="G66:J72" totalsRowCount="1" headerRowDxfId="445" dataDxfId="443" totalsRowDxfId="442" headerRowBorderDxfId="444" totalsRowBorderDxfId="441">
  <autoFilter ref="G66:J71" xr:uid="{00000000-0009-0000-0100-00000B000000}">
    <filterColumn colId="0" hiddenButton="1"/>
    <filterColumn colId="1" hiddenButton="1"/>
    <filterColumn colId="2" hiddenButton="1"/>
    <filterColumn colId="3" hiddenButton="1"/>
  </autoFilter>
  <tableColumns count="4">
    <tableColumn id="1" xr3:uid="{00000000-0010-0000-0A00-000001000000}" name="Colonne1" totalsRowLabel="Sous-total" dataDxfId="440"/>
    <tableColumn id="2" xr3:uid="{00000000-0010-0000-0A00-000002000000}" name="Coût estimé" totalsRowFunction="sum" dataDxfId="439" totalsRowDxfId="438"/>
    <tableColumn id="3" xr3:uid="{00000000-0010-0000-0A00-000003000000}" name="Coût réel" totalsRowFunction="sum" dataDxfId="437" totalsRowDxfId="436"/>
    <tableColumn id="4" xr3:uid="{00000000-0010-0000-0A00-000004000000}" name="Écart" totalsRowFunction="sum" dataDxfId="435">
      <calculatedColumnFormula>Juridique[[#This Row],[Coût estimé]]-Juridique[[#This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juridiques réels et projetés dans ce tableau. La différence est calculée automatiquemen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SoinsPersonnels" displayName="SoinsPersonnels" ref="B69:E76" totalsRowCount="1" headerRowDxfId="434" dataDxfId="432" totalsRowDxfId="431" headerRowBorderDxfId="433" totalsRowBorderDxfId="430">
  <autoFilter ref="B69:E75" xr:uid="{00000000-0009-0000-0100-00000C000000}">
    <filterColumn colId="0" hiddenButton="1"/>
    <filterColumn colId="1" hiddenButton="1"/>
    <filterColumn colId="2" hiddenButton="1"/>
    <filterColumn colId="3" hiddenButton="1"/>
  </autoFilter>
  <tableColumns count="4">
    <tableColumn id="1" xr3:uid="{00000000-0010-0000-0B00-000001000000}" name="Colonne1" totalsRowLabel="Sous-total" dataDxfId="429" totalsRowDxfId="428"/>
    <tableColumn id="2" xr3:uid="{00000000-0010-0000-0B00-000002000000}" name="Coût estimé" totalsRowFunction="sum" dataDxfId="427" totalsRowDxfId="426"/>
    <tableColumn id="3" xr3:uid="{00000000-0010-0000-0B00-000003000000}" name="Coût réel" totalsRowFunction="sum" dataDxfId="425" totalsRowDxfId="424"/>
    <tableColumn id="4" xr3:uid="{00000000-0010-0000-0B00-000004000000}" name="Écart" totalsRowFunction="sum" dataDxfId="423" totalsRowDxfId="422">
      <calculatedColumnFormula>SoinsPersonnels[[#This Row],[Coût estimé]]-SoinsPersonnels[[#This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e soins personnels réels et projetés dans ce tableau. La différence est calculée automatiquement"/>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D0847D8-9585-46F4-902E-1B73DC25C49C}" name="Revenus" displayName="Revenus" ref="C7:Q11" totalsRowCount="1" headerRowDxfId="420" dataDxfId="419" totalsRowDxfId="418">
  <autoFilter ref="C7:Q10"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65A148D1-7769-4508-B5E4-B2C6E9993DDF}" name="REVENUS" totalsRowLabel="Total" dataDxfId="417" totalsRowDxfId="416"/>
    <tableColumn id="2" xr3:uid="{A90CA4C5-C795-4CDB-8A03-CE609374611C}" name="Janvier" totalsRowFunction="sum" dataDxfId="415" totalsRowDxfId="414"/>
    <tableColumn id="3" xr3:uid="{1AEA514B-673F-4B78-8C37-9FEAB94F5D3A}" name="Février" totalsRowFunction="sum" dataDxfId="413" totalsRowDxfId="412"/>
    <tableColumn id="4" xr3:uid="{EBB50176-9DC4-4C80-B086-FA10298136F5}" name="Mars" totalsRowFunction="sum" dataDxfId="411" totalsRowDxfId="410"/>
    <tableColumn id="5" xr3:uid="{1AB9CCB2-BCFB-4E56-AB21-B52A06EC362F}" name="Avril" totalsRowFunction="sum" dataDxfId="409" totalsRowDxfId="408"/>
    <tableColumn id="6" xr3:uid="{D91E728B-85EA-4AA8-8685-08E620755249}" name="Mai" totalsRowFunction="sum" dataDxfId="407" totalsRowDxfId="406"/>
    <tableColumn id="7" xr3:uid="{3AAEC152-4FAD-45C1-B44C-96EADEB7CAC6}" name="Juin" totalsRowFunction="sum" dataDxfId="405" totalsRowDxfId="404"/>
    <tableColumn id="8" xr3:uid="{B7423854-C736-4338-9380-0734439A11B5}" name="Juillet" totalsRowFunction="sum" dataDxfId="403" totalsRowDxfId="402"/>
    <tableColumn id="9" xr3:uid="{AAAE85EE-0B93-4E67-9554-9B22409AE1E3}" name="Août" totalsRowFunction="sum" dataDxfId="401" totalsRowDxfId="400"/>
    <tableColumn id="10" xr3:uid="{3DC3D1B6-B7B9-45A7-9840-3BE914969F22}" name="Septembre" totalsRowFunction="sum" dataDxfId="399" totalsRowDxfId="398"/>
    <tableColumn id="11" xr3:uid="{5791DA63-E5B2-4DCC-BF0E-10EF73B8D28C}" name="Octobre" totalsRowFunction="sum" dataDxfId="397" totalsRowDxfId="396"/>
    <tableColumn id="12" xr3:uid="{D6721F33-0C93-4F8E-9CF9-3C8E4A56EF5C}" name="Novembre" totalsRowFunction="sum" dataDxfId="395" totalsRowDxfId="394"/>
    <tableColumn id="13" xr3:uid="{85957689-3C6D-4AF5-B264-A1A004900A59}" name="Décembre" totalsRowFunction="sum" dataDxfId="393" totalsRowDxfId="392"/>
    <tableColumn id="14" xr3:uid="{F13374CF-E636-4943-BFB8-E14E2014B503}" name="Année" totalsRowFunction="sum" dataDxfId="391" totalsRowDxfId="390">
      <calculatedColumnFormula>SUM(Revenus[[#This Row],[Janvier]:[Décembre]])</calculatedColumnFormula>
    </tableColumn>
    <tableColumn id="15" xr3:uid="{0092F1B7-97DF-47D8-909D-AE1B7063CE76}" name="Graphique sparkline" dataDxfId="389" totalsRowDxfId="388"/>
  </tableColumns>
  <tableStyleInfo showFirstColumn="1" showLastColumn="0" showRowStripes="0" showColumnStripes="1"/>
  <extLst>
    <ext xmlns:x14="http://schemas.microsoft.com/office/spreadsheetml/2009/9/main" uri="{504A1905-F514-4f6f-8877-14C23A59335A}">
      <x14:table altTextSummary="Entrez les éléments liés au revenu et les montants mensuels dans ce tableau. Le montant annuel et les totaux mensuels sont automatiquement calculés, et les graphiques sparkline sont mis à jour"/>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4908A3-08C2-48B7-A1EA-60C733BCB1C6}" name="Foyer" displayName="Foyer" ref="C14:Q24" totalsRowCount="1" headerRowDxfId="387" dataDxfId="386" totalsRowDxfId="385">
  <autoFilter ref="C14:Q23"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19DEE842-BDCF-4966-BEF0-DF326063C6A8}" name="LOGEMENT" totalsRowLabel="Total" dataDxfId="384" totalsRowDxfId="383"/>
    <tableColumn id="2" xr3:uid="{A381D2BC-839C-4891-8044-E311A196903A}" name="Janvier" totalsRowFunction="sum" dataDxfId="382" totalsRowDxfId="381"/>
    <tableColumn id="3" xr3:uid="{FB4B2DE3-B220-4C95-BFDE-46DA3F72BCEC}" name="Février" totalsRowFunction="sum" dataDxfId="380" totalsRowDxfId="379"/>
    <tableColumn id="4" xr3:uid="{373DD75F-C427-4811-A696-A70F14E7D02F}" name="Mars" totalsRowFunction="sum" dataDxfId="378" totalsRowDxfId="377"/>
    <tableColumn id="5" xr3:uid="{D6BBE554-1368-434E-837D-99F82FE99008}" name="Avril" totalsRowFunction="sum" dataDxfId="376" totalsRowDxfId="375"/>
    <tableColumn id="6" xr3:uid="{AF8F90DC-DCC7-48A2-ABE1-EED96E01CF61}" name="Mai" totalsRowFunction="sum" dataDxfId="374" totalsRowDxfId="373"/>
    <tableColumn id="7" xr3:uid="{1265A706-2084-4D23-BD32-3652D35A120E}" name="Juin" totalsRowFunction="sum" dataDxfId="372" totalsRowDxfId="371"/>
    <tableColumn id="8" xr3:uid="{1E489F2D-3EB0-4D6E-818C-2812B2EF0174}" name="Juillet" totalsRowFunction="sum" dataDxfId="370" totalsRowDxfId="369"/>
    <tableColumn id="9" xr3:uid="{B8D951A3-392D-4DBE-B555-F12A7CE0521E}" name="Août" totalsRowFunction="sum" dataDxfId="368" totalsRowDxfId="367"/>
    <tableColumn id="10" xr3:uid="{2DEA0727-5CA6-4556-A031-2372633686A9}" name="Septembre" totalsRowFunction="sum" dataDxfId="366" totalsRowDxfId="365"/>
    <tableColumn id="11" xr3:uid="{6FA3450A-7AC1-4625-A340-A647D2F9C81C}" name="Octobre" totalsRowFunction="sum" dataDxfId="364" totalsRowDxfId="363"/>
    <tableColumn id="12" xr3:uid="{B273352D-9A13-4587-9886-073B6209C86E}" name="Novembre" totalsRowFunction="sum" dataDxfId="362" totalsRowDxfId="361"/>
    <tableColumn id="13" xr3:uid="{325C74E5-420C-489E-8AFC-4F6791DA6C3F}" name="Décembre" totalsRowFunction="sum" dataDxfId="360" totalsRowDxfId="359"/>
    <tableColumn id="14" xr3:uid="{2D8CC7A6-D6BF-43D0-87BF-769CEDAAE821}" name="Année" totalsRowFunction="sum" dataDxfId="358" totalsRowDxfId="357">
      <calculatedColumnFormula>SUM(Foyer[[#This Row],[Janvier]:[Décembre]])</calculatedColumnFormula>
    </tableColumn>
    <tableColumn id="15" xr3:uid="{E648B472-3458-44ED-85B0-544A15CE81E2}" name="Graphique sparkline" dataDxfId="356" totalsRowDxfId="355"/>
  </tableColumns>
  <tableStyleInfo showFirstColumn="1" showLastColumn="0" showRowStripes="0" showColumnStripes="1"/>
  <extLst>
    <ext xmlns:x14="http://schemas.microsoft.com/office/spreadsheetml/2009/9/main" uri="{504A1905-F514-4f6f-8877-14C23A59335A}">
      <x14:table altTextSummary="Entrez les éléments liés aux dépenses du foyer et les montants mensuels dans ce tableau. Le montant annuel et les totaux mensuels sont automatiquement calculés, et les graphiques sparkline sont mis à jour"/>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FD2D2D2-4F2F-4B88-A865-BC6D6F8432C4}" name="Quotidien" displayName="Quotidien" ref="C26:Q36" totalsRowCount="1" headerRowDxfId="354" dataDxfId="353" totalsRowDxfId="351" tableBorderDxfId="352">
  <autoFilter ref="C26:Q35"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AB8459F8-EE2F-4966-B06C-4617F98B12F9}" name="LOISIRS" totalsRowLabel="Total" dataDxfId="350" totalsRowDxfId="349" totalsRowCellStyle="Normal 2"/>
    <tableColumn id="2" xr3:uid="{08CC2EFB-0A78-41CC-AF54-87F987A6EA17}" name="Janvier" totalsRowFunction="sum" dataDxfId="348" totalsRowDxfId="347" totalsRowCellStyle="Normal 2"/>
    <tableColumn id="3" xr3:uid="{01AB1F92-B3D4-4B4D-AAF2-7049C2C9D7C3}" name="Février" totalsRowFunction="sum" dataDxfId="346" totalsRowDxfId="345" totalsRowCellStyle="Normal 2"/>
    <tableColumn id="4" xr3:uid="{9B6BF1B5-6091-4B67-A19D-FCFB53B1B2EA}" name="Mars" totalsRowFunction="sum" dataDxfId="344" totalsRowDxfId="343" totalsRowCellStyle="Normal 2"/>
    <tableColumn id="5" xr3:uid="{9027B572-5B9D-4D7C-9AA6-75384944CD7E}" name="Avril" totalsRowFunction="sum" dataDxfId="342" totalsRowDxfId="341" totalsRowCellStyle="Normal 2"/>
    <tableColumn id="6" xr3:uid="{5B13A828-4CB3-4174-8395-F75B600436F6}" name="Mai" totalsRowFunction="sum" dataDxfId="340" totalsRowDxfId="339" totalsRowCellStyle="Normal 2"/>
    <tableColumn id="7" xr3:uid="{B9A5CBF2-88CB-4E21-8ACC-E6951C5F6099}" name="Juin" totalsRowFunction="sum" dataDxfId="338" totalsRowDxfId="337" totalsRowCellStyle="Normal 2"/>
    <tableColumn id="8" xr3:uid="{B03FB57F-11DD-483C-9B8B-9CE11F336453}" name="Juillet" totalsRowFunction="sum" dataDxfId="336" totalsRowDxfId="335" totalsRowCellStyle="Normal 2"/>
    <tableColumn id="9" xr3:uid="{60BCD929-D2D6-4059-8AC7-C2B620A9FCAF}" name="Août" totalsRowFunction="sum" dataDxfId="334" totalsRowDxfId="333" totalsRowCellStyle="Normal 2"/>
    <tableColumn id="10" xr3:uid="{8F392060-A217-4190-9E05-710344E8D5A4}" name="Septembre" totalsRowFunction="sum" dataDxfId="332" totalsRowDxfId="331" totalsRowCellStyle="Normal 2"/>
    <tableColumn id="11" xr3:uid="{0B1EEFD1-F153-474B-836C-FDCFA2B773F1}" name="Octobre" totalsRowFunction="sum" dataDxfId="330" totalsRowDxfId="329" totalsRowCellStyle="Normal 2"/>
    <tableColumn id="12" xr3:uid="{82C8C921-0C8E-419D-9E0C-798A05DA0777}" name="Novembre" totalsRowFunction="sum" dataDxfId="328" totalsRowDxfId="327" totalsRowCellStyle="Normal 2"/>
    <tableColumn id="13" xr3:uid="{58D05688-759E-4361-8184-ED8193EA7E16}" name="Décembre" totalsRowFunction="sum" dataDxfId="326" totalsRowDxfId="325" totalsRowCellStyle="Normal 2"/>
    <tableColumn id="14" xr3:uid="{8D750957-0884-4C28-8E35-44D3685B64A1}" name="Année" totalsRowFunction="sum" dataDxfId="324" totalsRowDxfId="323" totalsRowCellStyle="Normal 2">
      <calculatedColumnFormula>SUM(Quotidien[[#This Row],[Janvier]:[Décembre]])</calculatedColumnFormula>
    </tableColumn>
    <tableColumn id="15" xr3:uid="{B8315BCF-7201-4ADD-B3BB-C46D968D5ABA}" name="Graphique sparkline" dataDxfId="322" totalsRowDxfId="321"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dépenses quotidiennes et les montants mensuels dans ce tableau. Le montant annuel et les totaux mensuels sont automatiquement calculés, et les graphiques sparkline sont mis à jour"/>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10D1FF9-5CDE-415E-9565-B40CD4B3153C}" name="Transports" displayName="Transports" ref="C38:Q47" totalsRowCount="1" headerRowDxfId="320" dataDxfId="319" totalsRowDxfId="318">
  <autoFilter ref="C38:Q46"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CE4273FF-CD7D-4645-BBFF-6F6AB26E4767}" name="TRANSPORTS" totalsRowLabel="Total" dataDxfId="317" totalsRowDxfId="316"/>
    <tableColumn id="2" xr3:uid="{DE30DD71-1399-4B25-BC43-6F27D0B6BD06}" name="Janvier" totalsRowFunction="sum" dataDxfId="315" totalsRowDxfId="314"/>
    <tableColumn id="3" xr3:uid="{BFAD9B6A-5907-4789-AD07-36D1D35A2C32}" name="Février" totalsRowFunction="sum" dataDxfId="313" totalsRowDxfId="312"/>
    <tableColumn id="4" xr3:uid="{5183E239-92F6-498B-A364-8316B8E39A7A}" name="Mars" totalsRowFunction="sum" dataDxfId="311" totalsRowDxfId="310"/>
    <tableColumn id="5" xr3:uid="{AFCDF7B9-0BE9-4BE9-9573-F25079C435E9}" name="Avril" totalsRowFunction="sum" dataDxfId="309" totalsRowDxfId="308"/>
    <tableColumn id="6" xr3:uid="{9E1BAD4A-4979-4A77-86A3-114910C9D767}" name="Mai" totalsRowFunction="sum" dataDxfId="307" totalsRowDxfId="306"/>
    <tableColumn id="7" xr3:uid="{B0A268BA-A456-4CCD-B3BB-FCE9EE0CE4CD}" name="Juin" totalsRowFunction="sum" dataDxfId="305" totalsRowDxfId="304"/>
    <tableColumn id="8" xr3:uid="{E1A3D3D6-DA08-48AE-827D-E18B64AECBA7}" name="Juillet" totalsRowFunction="sum" dataDxfId="303" totalsRowDxfId="302"/>
    <tableColumn id="9" xr3:uid="{B2F191DD-D5B6-4DFB-8084-353316B9A879}" name="Août" totalsRowFunction="sum" dataDxfId="301" totalsRowDxfId="300"/>
    <tableColumn id="10" xr3:uid="{9AEE3058-3773-4C4B-9644-DF84298F6C17}" name="Septembre" totalsRowFunction="sum" dataDxfId="299" totalsRowDxfId="298"/>
    <tableColumn id="11" xr3:uid="{3752010D-B116-476A-B6A9-78D005D1AA0F}" name="Octobre" totalsRowFunction="sum" dataDxfId="297" totalsRowDxfId="296"/>
    <tableColumn id="12" xr3:uid="{289A3213-E39B-4C0A-ACB3-AC02BC130A4B}" name="Novembre" totalsRowFunction="sum" dataDxfId="295" totalsRowDxfId="294"/>
    <tableColumn id="13" xr3:uid="{4A2165BF-77D5-49D5-ABFC-CB67BB1CABEE}" name="Décembre" totalsRowFunction="sum" dataDxfId="293" totalsRowDxfId="292"/>
    <tableColumn id="14" xr3:uid="{073DDE47-C86C-4A82-8FC2-3988D71B36C8}" name="Année" totalsRowFunction="sum" dataDxfId="291" totalsRowDxfId="290">
      <calculatedColumnFormula>SUM(Transports[[#This Row],[Janvier]:[Décembre]])</calculatedColumnFormula>
    </tableColumn>
    <tableColumn id="15" xr3:uid="{F0DE99C1-A85F-4E92-AD1E-CAD8860511C3}" name="Graphique sparkline" dataDxfId="289" totalsRowDxfId="288"/>
  </tableColumns>
  <tableStyleInfo showFirstColumn="1" showLastColumn="0" showRowStripes="0" showColumnStripes="1"/>
  <extLst>
    <ext xmlns:x14="http://schemas.microsoft.com/office/spreadsheetml/2009/9/main" uri="{504A1905-F514-4f6f-8877-14C23A59335A}">
      <x14:table altTextSummary="Entrez les éléments liés aux dépenses de transport et les montants mensuels dans ce tableau. Le montant annuel et les totaux mensuels sont automatiquement calculés, et les graphiques sparkline sont mis à jour"/>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A4ABD8C-12C3-493C-B9AB-7FD68942B82C}" name="Loisirs18" displayName="Loisirs18" ref="C49:Q56" totalsRowCount="1" headerRowDxfId="287" dataDxfId="286" totalsRowDxfId="285">
  <autoFilter ref="C49:Q55"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463F2734-781F-4F54-90B6-49C1090BA385}" name="CREDITS" totalsRowLabel="Total" dataDxfId="284" totalsRowDxfId="283"/>
    <tableColumn id="2" xr3:uid="{E35ACC14-B534-46EA-872F-06CD739D0C9E}" name="Janvier" totalsRowFunction="sum" dataDxfId="282" totalsRowDxfId="281"/>
    <tableColumn id="3" xr3:uid="{B7AEBEC3-0633-4324-A21A-92827FAA53F6}" name="Février" totalsRowFunction="sum" dataDxfId="280" totalsRowDxfId="279"/>
    <tableColumn id="4" xr3:uid="{442A38CD-D3CA-4979-90E7-4E72C885C456}" name="Mars" totalsRowFunction="sum" dataDxfId="278" totalsRowDxfId="277"/>
    <tableColumn id="5" xr3:uid="{C5D38C61-C718-4CB8-AB1B-4E01E3101E94}" name="Avril" totalsRowFunction="sum" dataDxfId="276" totalsRowDxfId="275"/>
    <tableColumn id="6" xr3:uid="{4D260615-DF71-46A6-9B93-12AB182CB430}" name="Mai" totalsRowFunction="sum" dataDxfId="274" totalsRowDxfId="273"/>
    <tableColumn id="7" xr3:uid="{75BD7D66-1F6A-4C6C-A3A6-E715ABC2453F}" name="Juin" totalsRowFunction="sum" dataDxfId="272" totalsRowDxfId="271"/>
    <tableColumn id="8" xr3:uid="{04D931E6-2186-4AAE-A24F-83AB6516471A}" name="Juillet" totalsRowFunction="sum" dataDxfId="270" totalsRowDxfId="269"/>
    <tableColumn id="9" xr3:uid="{EA9CC25A-B431-44F8-878A-57C8A5DA3C00}" name="Août" totalsRowFunction="sum" dataDxfId="268" totalsRowDxfId="267"/>
    <tableColumn id="10" xr3:uid="{AF2BA43B-591A-434B-A0FB-131D75A15A58}" name="Septembre" totalsRowFunction="sum" dataDxfId="266" totalsRowDxfId="265"/>
    <tableColumn id="11" xr3:uid="{1A80EFC4-D0C5-43DC-A46A-30277F27AD02}" name="Octobre" totalsRowFunction="sum" dataDxfId="264" totalsRowDxfId="263"/>
    <tableColumn id="12" xr3:uid="{A56CD612-5BE8-4AE7-9003-B7BD08F48D03}" name="Novembre" totalsRowFunction="sum" dataDxfId="262" totalsRowDxfId="261"/>
    <tableColumn id="13" xr3:uid="{0D6AA303-DF6F-4975-A6D5-5B84B5AB8115}" name="Décembre" totalsRowFunction="sum" dataDxfId="260" totalsRowDxfId="259"/>
    <tableColumn id="14" xr3:uid="{D1BD5EAF-BAC0-418A-93D4-D18CF54B423B}" name="Année" totalsRowFunction="sum" dataDxfId="258" totalsRowDxfId="257">
      <calculatedColumnFormula>SUM(Loisirs18[[#This Row],[Janvier]:[Décembre]])</calculatedColumnFormula>
    </tableColumn>
    <tableColumn id="15" xr3:uid="{E2EDA64B-E802-4771-AF02-45E6FA4D8873}" name="Graphique sparkline" dataDxfId="256" totalsRowDxfId="255"/>
  </tableColumns>
  <tableStyleInfo showFirstColumn="1" showLastColumn="0" showRowStripes="0" showColumnStripes="1"/>
  <extLst>
    <ext xmlns:x14="http://schemas.microsoft.com/office/spreadsheetml/2009/9/main" uri="{504A1905-F514-4f6f-8877-14C23A59335A}">
      <x14:table altTextSummary="Entrez les éléments liés aux dépenses de loisirs et les montants mensuels dans ce tableau. Le montant annuel et les totaux mensuels sont automatiquement calculés, et les graphiques sparkline sont mis à jour"/>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E72E561-E8F1-4D41-80F8-7FD857D458E9}" name="Santé" displayName="Santé" ref="C58:Q64" totalsRowCount="1" headerRowDxfId="254" dataDxfId="253" totalsRowDxfId="252">
  <autoFilter ref="C58:Q63"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B5E86728-8EF4-45E4-9157-C5BA6A328187}" name="ASSURRANCES" totalsRowLabel="Total" dataDxfId="251" totalsRowDxfId="250"/>
    <tableColumn id="2" xr3:uid="{B61EBD65-0676-4BB9-B465-662DC0C6F928}" name="Janvier" totalsRowFunction="sum" dataDxfId="249" totalsRowDxfId="248"/>
    <tableColumn id="3" xr3:uid="{1FD20E63-574C-427D-9B1D-28F59350A3B8}" name="Février" totalsRowFunction="sum" dataDxfId="247" totalsRowDxfId="246"/>
    <tableColumn id="4" xr3:uid="{790B9681-8732-4416-9998-71BEDD649AE3}" name="Mars" totalsRowFunction="sum" dataDxfId="245" totalsRowDxfId="244"/>
    <tableColumn id="5" xr3:uid="{A2B830C5-5B50-483C-B765-338D7D48AD99}" name="Avril" totalsRowFunction="sum" dataDxfId="243" totalsRowDxfId="242"/>
    <tableColumn id="6" xr3:uid="{00B3C4A4-F786-410D-B469-7E99EC703778}" name="Mai" totalsRowFunction="sum" dataDxfId="241" totalsRowDxfId="240"/>
    <tableColumn id="7" xr3:uid="{CB89DFED-9723-4C6D-BEB5-36171FF12ECF}" name="Juin" totalsRowFunction="sum" dataDxfId="239" totalsRowDxfId="238"/>
    <tableColumn id="8" xr3:uid="{19D1F0C4-9B44-4E2C-B9F2-A3844CC4F99D}" name="Juillet" totalsRowFunction="sum" dataDxfId="237" totalsRowDxfId="236"/>
    <tableColumn id="9" xr3:uid="{84A01E82-44FF-46A8-96E0-AE3DDDD596CB}" name="Août" totalsRowFunction="sum" dataDxfId="235" totalsRowDxfId="234"/>
    <tableColumn id="10" xr3:uid="{A257B92E-4BD4-453E-8062-3DAC6365E5A7}" name="Septembre" totalsRowFunction="sum" dataDxfId="233" totalsRowDxfId="232"/>
    <tableColumn id="11" xr3:uid="{48708AA1-DB44-49E7-8C5B-A0722C042EA6}" name="Octobre" totalsRowFunction="sum" dataDxfId="231" totalsRowDxfId="230"/>
    <tableColumn id="12" xr3:uid="{7EB52A59-E36A-436E-9471-33A9441EA46B}" name="Novembre" totalsRowFunction="sum" dataDxfId="229" totalsRowDxfId="228"/>
    <tableColumn id="13" xr3:uid="{4CDB8326-3A48-4998-BFD4-A6ADF2E8CFEB}" name="Décembre" totalsRowFunction="sum" dataDxfId="227" totalsRowDxfId="226"/>
    <tableColumn id="14" xr3:uid="{826E774C-985B-4B57-A46D-972E9A52E10E}" name="Année" totalsRowFunction="sum" dataDxfId="225" totalsRowDxfId="224">
      <calculatedColumnFormula>SUM(Santé[[#This Row],[Janvier]:[Décembre]])</calculatedColumnFormula>
    </tableColumn>
    <tableColumn id="15" xr3:uid="{B17BE53F-C027-4218-8527-529A179265AB}" name="Graphique sparkline" dataDxfId="223" totalsRowDxfId="222"/>
  </tableColumns>
  <tableStyleInfo showFirstColumn="1" showLastColumn="0" showRowStripes="0" showColumnStripes="1"/>
  <extLst>
    <ext xmlns:x14="http://schemas.microsoft.com/office/spreadsheetml/2009/9/main" uri="{504A1905-F514-4f6f-8877-14C23A59335A}">
      <x14:table altTextSummary="Entrez les éléments liés aux dépenses de santé et les montants mensuels dans ce tableau. Le montant annuel et les totaux mensuels sont automatiquement calculés, et les graphiques sparkline sont mis à jour"/>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AEBBC94-1274-449B-B6A2-AE8D89516B40}" name="Vacances" displayName="Vacances" ref="C66:Q72" totalsRowCount="1" headerRowDxfId="221" dataDxfId="220" totalsRowDxfId="219">
  <autoFilter ref="C66:Q71"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FBB91217-1E87-459C-B4F8-040C33B1CE3C}" name="IMPÔTS" totalsRowLabel="Total" dataDxfId="218" totalsRowDxfId="217" totalsRowCellStyle="Normal 2"/>
    <tableColumn id="2" xr3:uid="{7A20A6D8-FA5E-40DF-99F2-8BD64A5C101A}" name="Janvier" totalsRowFunction="sum" dataDxfId="216" totalsRowDxfId="215" totalsRowCellStyle="Normal 2"/>
    <tableColumn id="3" xr3:uid="{D18A1C18-6E5A-4613-9E72-89D03D272E34}" name="Février" totalsRowFunction="sum" dataDxfId="214" totalsRowDxfId="213" totalsRowCellStyle="Normal 2"/>
    <tableColumn id="4" xr3:uid="{65FDC47A-97A1-4531-8BDB-14747077B440}" name="Mars" totalsRowFunction="sum" dataDxfId="212" totalsRowDxfId="211" totalsRowCellStyle="Normal 2"/>
    <tableColumn id="5" xr3:uid="{EA72418A-4749-4A3C-8FC8-CF44FD577947}" name="Avril" totalsRowFunction="sum" dataDxfId="210" totalsRowDxfId="209" totalsRowCellStyle="Normal 2"/>
    <tableColumn id="6" xr3:uid="{FD2DB556-4CF3-4032-82A8-2097D6624635}" name="Mai" totalsRowFunction="sum" dataDxfId="208" totalsRowDxfId="207" totalsRowCellStyle="Normal 2"/>
    <tableColumn id="7" xr3:uid="{3653E95D-4A75-4F67-8FC0-66FD6523C49E}" name="Juin" totalsRowFunction="sum" dataDxfId="206" totalsRowDxfId="205" totalsRowCellStyle="Normal 2"/>
    <tableColumn id="8" xr3:uid="{D968209B-A909-4420-800D-5BFAF58F80B0}" name="Juillet" totalsRowFunction="sum" dataDxfId="204" totalsRowDxfId="203" totalsRowCellStyle="Normal 2"/>
    <tableColumn id="9" xr3:uid="{0769F903-1841-48B7-A8D8-3B62ED5D0386}" name="Août" totalsRowFunction="sum" dataDxfId="202" totalsRowDxfId="201" totalsRowCellStyle="Normal 2"/>
    <tableColumn id="10" xr3:uid="{F18B0CAE-4721-4E81-A8D8-11A504C68B7E}" name="Septembre" totalsRowFunction="sum" dataDxfId="200" totalsRowDxfId="199" totalsRowCellStyle="Normal 2"/>
    <tableColumn id="11" xr3:uid="{2799DCA7-4DFB-4CD2-AEF2-8A8618F80456}" name="Octobre" totalsRowFunction="sum" dataDxfId="198" totalsRowDxfId="197" totalsRowCellStyle="Normal 2"/>
    <tableColumn id="12" xr3:uid="{F40B1FE3-1450-4664-98E7-B8BFAB1DB7B3}" name="Novembre" totalsRowFunction="sum" dataDxfId="196" totalsRowDxfId="195" totalsRowCellStyle="Normal 2"/>
    <tableColumn id="13" xr3:uid="{607A64D9-C32A-4905-A13B-3BDCAF3D31F3}" name="Décembre" totalsRowFunction="sum" dataDxfId="194" totalsRowDxfId="193" totalsRowCellStyle="Normal 2"/>
    <tableColumn id="14" xr3:uid="{BD12D3D3-C32E-4F1C-B372-59D9AD0A7114}" name="Année" totalsRowFunction="sum" dataDxfId="192" totalsRowDxfId="191" totalsRowCellStyle="Normal 2">
      <calculatedColumnFormula>SUM(Vacances[[#This Row],[Janvier]:[Décembre]])</calculatedColumnFormula>
    </tableColumn>
    <tableColumn id="15" xr3:uid="{E8F2B669-2FD5-45FB-A57C-5987C09830DA}" name="Graphique sparkline" dataDxfId="190" totalsRowDxfId="189"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dépenses de vacances et les montants mensuels dans ce tableau. Le montant annuel et les totaux mensuels sont automatiquement calculés, et les graphiques sparkline sont mis à jour"/>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isirs" displayName="Loisirs" ref="G17:J27" totalsRowCount="1" headerRowDxfId="550" dataDxfId="548" totalsRowDxfId="546" headerRowBorderDxfId="549" tableBorderDxfId="547" totalsRowBorderDxfId="545" headerRowCellStyle="Normal">
  <autoFilter ref="G17:J26" xr:uid="{00000000-0009-0000-0100-000002000000}">
    <filterColumn colId="0" hiddenButton="1"/>
    <filterColumn colId="1" hiddenButton="1"/>
    <filterColumn colId="2" hiddenButton="1"/>
    <filterColumn colId="3" hiddenButton="1"/>
  </autoFilter>
  <tableColumns count="4">
    <tableColumn id="1" xr3:uid="{00000000-0010-0000-0100-000001000000}" name="Colonne1" totalsRowLabel="Sous-total" dataDxfId="544"/>
    <tableColumn id="2" xr3:uid="{00000000-0010-0000-0100-000002000000}" name="Coût estimé" totalsRowFunction="sum" dataDxfId="543" totalsRowDxfId="542"/>
    <tableColumn id="3" xr3:uid="{00000000-0010-0000-0100-000003000000}" name="Coût réel" totalsRowFunction="sum" dataDxfId="541" totalsRowDxfId="540"/>
    <tableColumn id="4" xr3:uid="{00000000-0010-0000-0100-000004000000}" name="Écart" totalsRowFunction="sum" dataDxfId="539">
      <calculatedColumnFormula>Loisirs[[#This Row],[Coût estimé]]-Loisirs[[#This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e loisirs réels et projetés dans ce tableau.. La différence est calculée automatiquement"/>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C6CD585-4629-4B72-9B19-BAE5631D276A}" name="Détente" displayName="Détente" ref="C74:Q78" totalsRowCount="1" headerRowDxfId="188" dataDxfId="187" totalsRowDxfId="186">
  <autoFilter ref="C74:Q77"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AF0F01C1-EC8F-46D3-BE9D-FFBDA6E24D26}" name="NOURRITURE" totalsRowLabel="Total" dataDxfId="185" totalsRowDxfId="184" totalsRowCellStyle="Normal 2"/>
    <tableColumn id="2" xr3:uid="{C22F89FB-2157-4550-901B-1F0D7800CCAB}" name="Janvier" totalsRowFunction="sum" dataDxfId="183" totalsRowDxfId="182" totalsRowCellStyle="Normal 2"/>
    <tableColumn id="3" xr3:uid="{8615B5DE-F14D-4E70-B7CF-606177192BE4}" name="Février" totalsRowFunction="sum" dataDxfId="181" totalsRowDxfId="180" totalsRowCellStyle="Normal 2"/>
    <tableColumn id="4" xr3:uid="{25B2B7F1-F4FD-4850-9DA0-48C0E2AD68B8}" name="Mars" totalsRowFunction="sum" dataDxfId="179" totalsRowDxfId="178" totalsRowCellStyle="Normal 2"/>
    <tableColumn id="5" xr3:uid="{8B5A0A5B-2D5C-4086-9084-983F28E2EB34}" name="Avril" totalsRowFunction="sum" dataDxfId="177" totalsRowDxfId="176" totalsRowCellStyle="Normal 2"/>
    <tableColumn id="6" xr3:uid="{1FB465E5-1776-4CC2-B52D-7B85F81927D0}" name="Mai" totalsRowFunction="sum" dataDxfId="175" totalsRowDxfId="174" totalsRowCellStyle="Normal 2"/>
    <tableColumn id="7" xr3:uid="{32743407-F1DA-4293-A905-4FAE13564C6D}" name="Juin" totalsRowFunction="sum" dataDxfId="173" totalsRowDxfId="172" totalsRowCellStyle="Normal 2"/>
    <tableColumn id="8" xr3:uid="{F1900D7A-C88B-4CCE-89FD-10646342D8FC}" name="Juillet" totalsRowFunction="sum" dataDxfId="171" totalsRowDxfId="170" totalsRowCellStyle="Normal 2"/>
    <tableColumn id="9" xr3:uid="{49EB031B-3801-466E-B17A-3037A4070994}" name="Août" totalsRowFunction="sum" dataDxfId="169" totalsRowDxfId="168" totalsRowCellStyle="Normal 2"/>
    <tableColumn id="10" xr3:uid="{FBF02D41-C5E7-4F20-A55B-A7238C591FBE}" name="Septembre" totalsRowFunction="sum" dataDxfId="167" totalsRowDxfId="166" totalsRowCellStyle="Normal 2"/>
    <tableColumn id="11" xr3:uid="{4643A2E0-6FF7-4CB0-82B1-D9A7EF870A1A}" name="Octobre" totalsRowFunction="sum" dataDxfId="165" totalsRowDxfId="164" totalsRowCellStyle="Normal 2"/>
    <tableColumn id="12" xr3:uid="{61A6323C-77A9-463A-A6C7-19860D3087C6}" name="Novembre" totalsRowFunction="sum" dataDxfId="163" totalsRowDxfId="162" totalsRowCellStyle="Normal 2"/>
    <tableColumn id="13" xr3:uid="{FCD3CB41-1D59-421B-8DDE-66D5E418710A}" name="Décembre" totalsRowFunction="sum" dataDxfId="161" totalsRowDxfId="160" totalsRowCellStyle="Normal 2"/>
    <tableColumn id="14" xr3:uid="{0A6B6E18-38A5-4C5C-861F-24A0230CD621}" name="Année" totalsRowFunction="sum" dataDxfId="159" totalsRowDxfId="158" totalsRowCellStyle="Normal 2">
      <calculatedColumnFormula>SUM(Détente[[#This Row],[Janvier]:[Décembre]])</calculatedColumnFormula>
    </tableColumn>
    <tableColumn id="15" xr3:uid="{DBED24C4-007B-4BAC-8643-3150DEB79139}" name="Graphique sparkline" dataDxfId="157" totalsRowDxfId="156"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dépenses de détente et les montants mensuels dans ce tableau. Le montant annuel et les totaux mensuels sont automatiquement calculés, et les graphiques sparkline sont mis à jour"/>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A4A4104-8D37-40E6-AA16-497FD238E016}" name="CotisationsEtAbonnements" displayName="CotisationsEtAbonnements" ref="C80:Q86" totalsRowCount="1" headerRowDxfId="155" dataDxfId="154" totalsRowDxfId="153">
  <autoFilter ref="C80:Q85"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7FFAFDBA-041E-459C-8510-AB0D718FCC98}" name="FINANCES" totalsRowLabel="Total" dataDxfId="152" totalsRowDxfId="151" totalsRowCellStyle="Normal 2"/>
    <tableColumn id="2" xr3:uid="{63AB36E9-641E-4ED4-8557-34E9F229E868}" name="Janvier" totalsRowFunction="sum" dataDxfId="150" totalsRowDxfId="149" totalsRowCellStyle="Normal 2"/>
    <tableColumn id="3" xr3:uid="{FFCB5B43-A791-4FE8-AE5E-5180CDEF1987}" name="Février" totalsRowFunction="sum" dataDxfId="148" totalsRowDxfId="147" totalsRowCellStyle="Normal 2"/>
    <tableColumn id="4" xr3:uid="{81FF6CD6-90F7-4951-B7A5-3C505E9AA824}" name="Mars" totalsRowFunction="sum" dataDxfId="146" totalsRowDxfId="145" totalsRowCellStyle="Normal 2"/>
    <tableColumn id="5" xr3:uid="{BE2DD553-11BF-40FD-8DE1-D41C4AB86096}" name="Avril" totalsRowFunction="sum" dataDxfId="144" totalsRowDxfId="143" totalsRowCellStyle="Normal 2"/>
    <tableColumn id="6" xr3:uid="{0D73A9DD-CBB4-4364-B4D2-DBADF5145612}" name="Mai" totalsRowFunction="sum" dataDxfId="142" totalsRowDxfId="141" totalsRowCellStyle="Normal 2"/>
    <tableColumn id="7" xr3:uid="{BF5A9D04-73F4-449D-BC56-927AC8DFD318}" name="Juin" totalsRowFunction="sum" dataDxfId="140" totalsRowDxfId="139" totalsRowCellStyle="Normal 2"/>
    <tableColumn id="8" xr3:uid="{42AE5CE3-F67B-4073-BA71-6650D73FEC1D}" name="Juillet" totalsRowFunction="sum" dataDxfId="138" totalsRowDxfId="137" totalsRowCellStyle="Normal 2"/>
    <tableColumn id="9" xr3:uid="{4EDF2CE6-45CD-4D1A-A2BA-C5B56CF12261}" name="Août" totalsRowFunction="sum" dataDxfId="136" totalsRowDxfId="135" totalsRowCellStyle="Normal 2"/>
    <tableColumn id="10" xr3:uid="{EA50483F-E2B6-4427-B828-9D7C5A520FDC}" name="Septembre" totalsRowFunction="sum" dataDxfId="134" totalsRowDxfId="133" totalsRowCellStyle="Normal 2"/>
    <tableColumn id="11" xr3:uid="{2A14E94E-D515-4D52-819E-912606BA4673}" name="Octobre" totalsRowFunction="sum" dataDxfId="132" totalsRowDxfId="131" totalsRowCellStyle="Normal 2"/>
    <tableColumn id="12" xr3:uid="{84F7A856-913A-4BB9-967F-122C85268C32}" name="Novembre" totalsRowFunction="sum" dataDxfId="130" totalsRowDxfId="129" totalsRowCellStyle="Normal 2"/>
    <tableColumn id="13" xr3:uid="{81B261CF-672D-4756-B232-8F15D75BF98E}" name="Décembre" totalsRowFunction="sum" dataDxfId="128" totalsRowDxfId="127" totalsRowCellStyle="Normal 2"/>
    <tableColumn id="14" xr3:uid="{49B4A695-4063-4DAF-A08F-DB910180FBBA}" name="Année" totalsRowFunction="sum" dataDxfId="126" totalsRowDxfId="125" totalsRowCellStyle="Normal 2">
      <calculatedColumnFormula>SUM(CotisationsEtAbonnements[[#This Row],[Janvier]:[Décembre]])</calculatedColumnFormula>
    </tableColumn>
    <tableColumn id="15" xr3:uid="{7CAC4C41-C5B9-48FC-BD43-BC1A47B967FE}" name="Graphique sparkline" dataDxfId="124" totalsRowDxfId="123"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cotisations et abonnements et les montants mensuels dans ce tableau. Le montant annuel et les totaux mensuels sont automatiquement calculés, et les graphiques sparkline sont mis à jour"/>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92BA737-C00D-42B1-830F-9B90A9EE617F}" name="Personnel" displayName="Personnel" ref="C88:Q94" totalsRowCount="1" headerRowDxfId="122" dataDxfId="121" totalsRowDxfId="120">
  <autoFilter ref="C88:Q93"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A7CA0467-D20D-4D94-BAA0-6E2CC0AECE83}" name="ANIMAUX" totalsRowLabel="Total" dataDxfId="119" totalsRowCellStyle="Normal 2"/>
    <tableColumn id="2" xr3:uid="{0B04E373-A538-4196-8C44-F1CADEF2CDF9}" name="Janvier" totalsRowFunction="sum" dataDxfId="118" totalsRowCellStyle="Normal 2"/>
    <tableColumn id="3" xr3:uid="{3C8FE1E0-8D75-4EAB-A0FB-5D0C9657631B}" name="Février" totalsRowFunction="sum" dataDxfId="117" totalsRowCellStyle="Normal 2"/>
    <tableColumn id="4" xr3:uid="{DF1EA704-7C58-4DD1-BE4E-F2386560D60B}" name="Mars" totalsRowFunction="sum" dataDxfId="116" totalsRowCellStyle="Normal 2"/>
    <tableColumn id="5" xr3:uid="{A1A50200-4BBD-48CE-AFBF-3CB814A19907}" name="Avril" totalsRowFunction="sum" dataDxfId="115" totalsRowCellStyle="Normal 2"/>
    <tableColumn id="6" xr3:uid="{B2E98BF0-2D47-4A60-A8B8-91ADF18E73D4}" name="Mai" totalsRowFunction="sum" dataDxfId="114" totalsRowCellStyle="Normal 2"/>
    <tableColumn id="7" xr3:uid="{BEC029C7-329A-488F-BAD8-1F228F638636}" name="Juin" totalsRowFunction="sum" dataDxfId="113" totalsRowCellStyle="Normal 2"/>
    <tableColumn id="8" xr3:uid="{17A5585E-9744-445B-9D0C-B09C9AACB3C2}" name="Juillet" totalsRowFunction="sum" dataDxfId="112" totalsRowCellStyle="Normal 2"/>
    <tableColumn id="9" xr3:uid="{5BD3DABC-6EF1-477C-BCB3-02C3E1B8B8A6}" name="Août" totalsRowFunction="sum" dataDxfId="111" totalsRowCellStyle="Normal 2"/>
    <tableColumn id="10" xr3:uid="{6C3301C9-D8A3-44A8-A254-9C0FB3DD3FC8}" name="Septembre" totalsRowFunction="sum" dataDxfId="110" totalsRowCellStyle="Normal 2"/>
    <tableColumn id="11" xr3:uid="{2A4C3C16-2509-4595-B932-525667747236}" name="Octobre" totalsRowFunction="sum" dataDxfId="109" totalsRowCellStyle="Normal 2"/>
    <tableColumn id="12" xr3:uid="{55CAF91A-BEA7-4678-B28D-35021C27914A}" name="Novembre" totalsRowFunction="sum" dataDxfId="108" totalsRowCellStyle="Normal 2"/>
    <tableColumn id="13" xr3:uid="{24E59DDA-5A17-4C27-AA30-4F3A1950A744}" name="Décembre" totalsRowFunction="sum" dataDxfId="107" totalsRowCellStyle="Normal 2"/>
    <tableColumn id="14" xr3:uid="{30204EA7-4FD9-4E33-9EC9-493184034B4A}" name="Année" totalsRowFunction="sum" dataDxfId="106" totalsRowDxfId="105" totalsRowCellStyle="Normal 2">
      <calculatedColumnFormula>SUM(Personnel[[#This Row],[Janvier]:[Décembre]])</calculatedColumnFormula>
    </tableColumn>
    <tableColumn id="15" xr3:uid="{2546BCAF-399B-49F0-8B2B-845DD1487B00}" name="Graphique sparkline" dataDxfId="104" totalsRowDxfId="103"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dépenses personnelles et les montants mensuels dans ce tableau. Le montant annuel et les totaux mensuels sont automatiquement calculés, et les graphiques sparkline sont mis à jour"/>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8E2F737-4472-4BCD-A893-CE390A37FE0B}" name="Finances" displayName="Finances" ref="C96:Q101" totalsRowCount="1" headerRowDxfId="102" dataDxfId="101" totalsRowDxfId="100">
  <autoFilter ref="C96:Q100"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30EA8828-CE79-4BC0-AA93-811E359DFF88}" name="DONS" totalsRowLabel="Total" dataDxfId="99" totalsRowCellStyle="Normal 2"/>
    <tableColumn id="2" xr3:uid="{8946528A-12D7-43CD-BEEE-F1F3D697714E}" name="Janvier" totalsRowFunction="sum" dataDxfId="98" totalsRowCellStyle="Normal 2"/>
    <tableColumn id="3" xr3:uid="{EE53ED39-6702-41CA-A1E8-8D47ABC9BDCC}" name="Février" totalsRowFunction="sum" dataDxfId="97" totalsRowCellStyle="Normal 2"/>
    <tableColumn id="4" xr3:uid="{0A742B46-BFD6-4030-A9E9-0159AB789FD8}" name="Mars" totalsRowFunction="sum" dataDxfId="96" totalsRowCellStyle="Normal 2"/>
    <tableColumn id="5" xr3:uid="{1208B5E4-419C-4D4A-91C6-0F11B1398461}" name="Avril" totalsRowFunction="sum" dataDxfId="95" totalsRowCellStyle="Normal 2"/>
    <tableColumn id="6" xr3:uid="{474AD04F-C6A7-46CC-9D5C-9DE1DC4E830A}" name="Mai" totalsRowFunction="sum" dataDxfId="94" totalsRowCellStyle="Normal 2"/>
    <tableColumn id="7" xr3:uid="{F2F11DC8-7DF9-4498-8374-2743194767B9}" name="Juin" totalsRowFunction="sum" dataDxfId="93" totalsRowCellStyle="Normal 2"/>
    <tableColumn id="8" xr3:uid="{2F1CC3D7-EBBA-43AC-B2D9-2683D09A9D12}" name="Juillet" totalsRowFunction="sum" dataDxfId="92" totalsRowCellStyle="Normal 2"/>
    <tableColumn id="9" xr3:uid="{61D75056-B586-4353-95A1-EF3E9064D40F}" name="Août" totalsRowFunction="sum" dataDxfId="91" totalsRowCellStyle="Normal 2"/>
    <tableColumn id="10" xr3:uid="{FA7DDAA4-E79C-4A13-B4A9-C2C4FF1EA1DB}" name="Septembre" totalsRowFunction="sum" dataDxfId="90" totalsRowCellStyle="Normal 2"/>
    <tableColumn id="11" xr3:uid="{BBA952E3-BEE0-43C7-843C-32FC0E6B8C30}" name="Octobre" totalsRowFunction="sum" dataDxfId="89" totalsRowCellStyle="Normal 2"/>
    <tableColumn id="12" xr3:uid="{968DD485-E91D-4A36-A735-E08C45A6D2E0}" name="Novembre" totalsRowFunction="sum" dataDxfId="88" totalsRowCellStyle="Normal 2"/>
    <tableColumn id="13" xr3:uid="{D0FE50C5-7053-4C2F-8364-D489DDCA66AE}" name="Décembre" totalsRowFunction="sum" dataDxfId="87" totalsRowCellStyle="Normal 2"/>
    <tableColumn id="14" xr3:uid="{9E38FF38-3658-4D17-9BAA-B84EAC20F955}" name="Année" totalsRowFunction="sum" dataDxfId="86" totalsRowDxfId="85" totalsRowCellStyle="Normal 2">
      <calculatedColumnFormula>SUM(Finances[[#This Row],[Janvier]:[Décembre]])</calculatedColumnFormula>
    </tableColumn>
    <tableColumn id="15" xr3:uid="{58FE26E6-D923-46E1-AA25-58D226CB3870}" name="Graphique sparkline" dataDxfId="84" totalsRowDxfId="83" totalsRowCellStyle="Normal 2"/>
  </tableColumns>
  <tableStyleInfo showFirstColumn="1" showLastColumn="0" showRowStripes="0" showColumnStripes="1"/>
  <extLst>
    <ext xmlns:x14="http://schemas.microsoft.com/office/spreadsheetml/2009/9/main" uri="{504A1905-F514-4f6f-8877-14C23A59335A}">
      <x14:table altTextSummary="Entrez les éléments liés aux obligations financières et les montants mensuels dans ce tableau. Le montant annuel et les totaux mensuels sont automatiquement calculés, et les graphiques sparkline sont mis à jour"/>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4DE4258-E35C-46ED-B96E-CAE9F44D313C}" name="Divers" displayName="Divers" ref="C112:Q118" totalsRowCount="1" headerRowDxfId="82" dataDxfId="81" totalsRowDxfId="80">
  <autoFilter ref="C112:Q117"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C291EF99-4C2B-48D2-B832-168054E4ECA5}" name="FAMILLE" totalsRowLabel="Total" dataDxfId="79" totalsRowDxfId="78"/>
    <tableColumn id="2" xr3:uid="{01131545-81EA-43B3-B361-49DE37F2349E}" name="Janvier" totalsRowFunction="sum" dataDxfId="77" totalsRowDxfId="76"/>
    <tableColumn id="3" xr3:uid="{777AD72D-6B10-4A7C-8301-BF38C14354A6}" name="Février" totalsRowFunction="sum" dataDxfId="75" totalsRowDxfId="74"/>
    <tableColumn id="4" xr3:uid="{0AC03A7C-9786-4AD7-8CEA-0A6E5FA8E830}" name="Mars" totalsRowFunction="sum" dataDxfId="73" totalsRowDxfId="72"/>
    <tableColumn id="5" xr3:uid="{4D629724-58B5-490A-8D81-AEEA568E8284}" name="Avril" totalsRowFunction="sum" dataDxfId="71" totalsRowDxfId="70"/>
    <tableColumn id="6" xr3:uid="{29875ED0-EC89-48F3-BE85-2EC35F2D85AD}" name="Mai" totalsRowFunction="sum" dataDxfId="69" totalsRowDxfId="68"/>
    <tableColumn id="7" xr3:uid="{36BDB15F-D040-4DF8-B7D4-2C05978C1477}" name="Juin" totalsRowFunction="sum" dataDxfId="67" totalsRowDxfId="66"/>
    <tableColumn id="8" xr3:uid="{DDF701A9-F8FC-4DE3-8830-749546E8CDA4}" name="Juillet" totalsRowFunction="sum" dataDxfId="65" totalsRowDxfId="64"/>
    <tableColumn id="9" xr3:uid="{4A3F807D-BE6D-4185-8667-14DA93850685}" name="Août" totalsRowFunction="sum" dataDxfId="63" totalsRowDxfId="62"/>
    <tableColumn id="10" xr3:uid="{D3054222-DA5E-4B77-B1AD-3CC5D9AC694F}" name="Septembre" totalsRowFunction="sum" dataDxfId="61" totalsRowDxfId="60"/>
    <tableColumn id="11" xr3:uid="{C052CC84-6F48-4C9C-82DE-9E3C203BBE2A}" name="Octobre" totalsRowFunction="sum" dataDxfId="59" totalsRowDxfId="58"/>
    <tableColumn id="12" xr3:uid="{AA909087-2F19-4703-9D83-5B2268D6F602}" name="Novembre" totalsRowFunction="sum" dataDxfId="57" totalsRowDxfId="56"/>
    <tableColumn id="13" xr3:uid="{5103D194-2B43-45B2-80F8-D4A18373BCB9}" name="Décembre" totalsRowFunction="sum" dataDxfId="55" totalsRowDxfId="54"/>
    <tableColumn id="14" xr3:uid="{AC6B844E-F7D0-481A-9F39-DC8368689017}" name="Année" totalsRowFunction="sum" dataDxfId="53" totalsRowDxfId="52">
      <calculatedColumnFormula>SUM(Divers[[#This Row],[Janvier]:[Décembre]])</calculatedColumnFormula>
    </tableColumn>
    <tableColumn id="15" xr3:uid="{D96AF218-BC74-4381-B97B-32073BF041EB}" name="Graphique sparkline" dataDxfId="51" totalsRowDxfId="50"/>
  </tableColumns>
  <tableStyleInfo showFirstColumn="1" showLastColumn="0" showRowStripes="0" showColumnStripes="1"/>
  <extLst>
    <ext xmlns:x14="http://schemas.microsoft.com/office/spreadsheetml/2009/9/main" uri="{504A1905-F514-4f6f-8877-14C23A59335A}">
      <x14:table altTextSummary="Entrez les dépenses et éléments divers dans ce tableau. Le montant annuel et les totaux mensuels sont automatiquement calculés, et les graphiques sparkline sont mis à jour"/>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13C6943-EA34-4689-A77A-90F7EB074BA1}" name="Totaux" displayName="Totaux" ref="C120:Q122" totalsRowShown="0" headerRowDxfId="49" dataDxfId="48">
  <tableColumns count="15">
    <tableColumn id="1" xr3:uid="{63AEAB3D-3B2D-45A7-AB06-40DE03CF4B87}" name="TOTAUX" dataDxfId="47"/>
    <tableColumn id="2" xr3:uid="{A99E8B68-734A-4345-9F93-8C6BA7EF7ECA}" name="JAN" dataDxfId="46">
      <calculatedColumnFormula>SUM(Divers[[#Totals],[Janvier]],Finances[[#Totals],[Janvier]],Personnel[[#Totals],[Janvier]],CotisationsEtAbonnements[[#Totals],[Janvier]],Détente[[#Totals],[Janvier]],Vacances[[#Totals],[Janvier]],Santé[[#Totals],[Janvier]],Loisirs18[[#Totals],[Janvier]],Transports[[#Totals],[Janvier]],Quotidien[[#Totals],[Janvier]],Foyer[[#Totals],[Janvier]])+Divers29[[#Totals],[Janvier]]</calculatedColumnFormula>
    </tableColumn>
    <tableColumn id="3" xr3:uid="{7AD4A8F0-BA54-4B90-A1AF-06E6B78A91EF}" name="FÉV" dataDxfId="45">
      <calculatedColumnFormula>SUM(Divers[[#Totals],[Février]],Finances[[#Totals],[Février]],Personnel[[#Totals],[Février]],CotisationsEtAbonnements[[#Totals],[Février]],Détente[[#Totals],[Février]],Vacances[[#Totals],[Février]],Santé[[#Totals],[Février]],Loisirs18[[#Totals],[Février]],Transports[[#Totals],[Février]],Quotidien[[#Totals],[Février]],Foyer[[#Totals],[Février]])+Divers29[[#Totals],[Février]]</calculatedColumnFormula>
    </tableColumn>
    <tableColumn id="4" xr3:uid="{651D8BF3-554C-44F8-AE13-EC6F2702821D}" name="MAR" dataDxfId="44">
      <calculatedColumnFormula>Revenus[[#Totals],[Mars]]-F120</calculatedColumnFormula>
    </tableColumn>
    <tableColumn id="5" xr3:uid="{5AF65D00-B146-4C40-8922-140EBF7F2558}" name="AVR" dataDxfId="43">
      <calculatedColumnFormula>Revenus[[#Totals],[Avril]]-G120</calculatedColumnFormula>
    </tableColumn>
    <tableColumn id="6" xr3:uid="{8F74F97B-DBC3-4407-B920-1FB98B16B3D8}" name="MAI" dataDxfId="42">
      <calculatedColumnFormula>Revenus[[#Totals],[Mai]]-H120</calculatedColumnFormula>
    </tableColumn>
    <tableColumn id="7" xr3:uid="{399499C8-A0CD-40D9-8002-F83EC80B885F}" name="JUIN" dataDxfId="41">
      <calculatedColumnFormula>Revenus[[#Totals],[Juin]]-I120</calculatedColumnFormula>
    </tableColumn>
    <tableColumn id="8" xr3:uid="{CE461138-27FD-4189-9E6C-EBB821E2BD66}" name="JUIL" dataDxfId="40">
      <calculatedColumnFormula>Revenus[[#Totals],[Juillet]]-J120</calculatedColumnFormula>
    </tableColumn>
    <tableColumn id="9" xr3:uid="{7616EE3D-ACDE-4B89-9B97-2C9AABBA5072}" name="AOÛ" dataDxfId="39">
      <calculatedColumnFormula>Revenus[[#Totals],[Août]]-K120</calculatedColumnFormula>
    </tableColumn>
    <tableColumn id="10" xr3:uid="{24F48B36-4A3F-46F9-A0E7-12E9819014DD}" name="SEPT" dataDxfId="38">
      <calculatedColumnFormula>Revenus[[#Totals],[Septembre]]-L120</calculatedColumnFormula>
    </tableColumn>
    <tableColumn id="11" xr3:uid="{84E3A65E-9582-47F0-9C4A-0A7FBCA07FA1}" name="OCT" dataDxfId="37">
      <calculatedColumnFormula>Revenus[[#Totals],[Octobre]]-M120</calculatedColumnFormula>
    </tableColumn>
    <tableColumn id="12" xr3:uid="{99E5AB0E-7530-4AB2-B5EE-0834424AA4D1}" name="NOV" dataDxfId="36">
      <calculatedColumnFormula>Revenus[[#Totals],[Novembre]]-N120</calculatedColumnFormula>
    </tableColumn>
    <tableColumn id="13" xr3:uid="{ECFA05D3-A91C-436D-A7C9-9EE3EEFF352F}" name="DÉC" dataDxfId="35">
      <calculatedColumnFormula>Revenus[[#Totals],[Décembre]]-O120</calculatedColumnFormula>
    </tableColumn>
    <tableColumn id="14" xr3:uid="{30A9F1A8-DCD8-4BBC-8038-F3D9C38E7921}" name="ANNÉE" dataDxfId="34">
      <calculatedColumnFormula>SUM(Divers[[#Totals],[Année]],Finances[[#Totals],[Année]],Personnel[[#Totals],[Année]],CotisationsEtAbonnements[[#Totals],[Année]],Détente[[#Totals],[Année]],Vacances[[#Totals],[Année]],Santé[[#Totals],[Année]],Loisirs18[[#Totals],[Année]],Transports[[#Totals],[Année]],Quotidien[[#Totals],[Année]],Foyer[[#Totals],[Année]])+Divers29[[#Totals],[Année]]</calculatedColumnFormula>
    </tableColumn>
    <tableColumn id="15" xr3:uid="{4F9EBF10-3868-4BBF-A7A1-95815D0C7305}" name="GRAPHIQUE SPARKLINE" dataDxfId="33"/>
  </tableColumns>
  <tableStyleInfo showFirstColumn="1" showLastColumn="0" showRowStripes="0" showColumnStripes="1"/>
  <extLst>
    <ext xmlns:x14="http://schemas.microsoft.com/office/spreadsheetml/2009/9/main" uri="{504A1905-F514-4f6f-8877-14C23A59335A}">
      <x14:table altTextSummary="Les dépenses totales ainsi que le déficit ou l’excédent de trésorerie sont automatiquement calculés pour chaque mois et pour l’année entière, et les graphiques sparkline sont mis à jour dans ce tableau"/>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B858C48-05A9-4D9A-BE73-E47D1ED028A1}" name="Divers29" displayName="Divers29" ref="C103:Q110" totalsRowCount="1" headerRowDxfId="32" dataDxfId="31" totalsRowDxfId="30">
  <tableColumns count="15">
    <tableColumn id="1" xr3:uid="{50803EB0-E6B3-4F66-BEBD-820C5E434CA3}" name="SANTE ET HYGIENE" totalsRowLabel="Total" dataDxfId="29" totalsRowDxfId="28"/>
    <tableColumn id="2" xr3:uid="{61E1D3E1-59DB-4C17-9CCA-E6009D40C415}" name="Janvier" totalsRowFunction="sum" dataDxfId="27" totalsRowDxfId="26"/>
    <tableColumn id="3" xr3:uid="{A2E85C36-31C8-483B-B753-E7F8F11A29E7}" name="Février" totalsRowFunction="sum" dataDxfId="25" totalsRowDxfId="24"/>
    <tableColumn id="4" xr3:uid="{7D1C6190-014F-46A9-B55E-193951F49590}" name="Mars" totalsRowFunction="sum" dataDxfId="23" totalsRowDxfId="22"/>
    <tableColumn id="5" xr3:uid="{68D75095-6DD4-44E5-BB00-E42AB9C75C86}" name="Avril" totalsRowFunction="sum" dataDxfId="21" totalsRowDxfId="20"/>
    <tableColumn id="6" xr3:uid="{3CB77E58-85CD-42EE-93EC-9350E108B903}" name="Mai" totalsRowFunction="sum" dataDxfId="19" totalsRowDxfId="18"/>
    <tableColumn id="7" xr3:uid="{CF15319E-46F7-4B09-85B0-F2E633294117}" name="Juin" totalsRowFunction="sum" dataDxfId="17" totalsRowDxfId="16"/>
    <tableColumn id="8" xr3:uid="{86794170-5B77-4612-80E1-7F6430F48D5B}" name="Juillet" totalsRowFunction="sum" dataDxfId="15" totalsRowDxfId="14"/>
    <tableColumn id="9" xr3:uid="{AC011CD3-1D76-4819-8800-ACDECBA6C7DC}" name="Août" totalsRowFunction="sum" dataDxfId="13" totalsRowDxfId="12"/>
    <tableColumn id="10" xr3:uid="{421D2EBF-2BAE-4BCC-A88E-CBCC2679D4D8}" name="Septembre" totalsRowFunction="sum" dataDxfId="11" totalsRowDxfId="10"/>
    <tableColumn id="11" xr3:uid="{C06CB29D-06B2-45B1-A4AE-AAF5ECBBD208}" name="Octobre" totalsRowFunction="sum" dataDxfId="9" totalsRowDxfId="8"/>
    <tableColumn id="12" xr3:uid="{0E72C231-57BC-4CAB-9489-645935CBEA7E}" name="Novembre" totalsRowFunction="sum" dataDxfId="7" totalsRowDxfId="6"/>
    <tableColumn id="13" xr3:uid="{E9EA31D8-EFBC-41CD-BE70-0F24CD84F8EC}" name="Décembre" totalsRowFunction="sum" dataDxfId="5" totalsRowDxfId="4"/>
    <tableColumn id="14" xr3:uid="{FE4EF7D3-E19A-49F2-BC90-6F9A0FF42853}" name="Année" totalsRowFunction="sum" dataDxfId="3" totalsRowDxfId="2">
      <calculatedColumnFormula>SUM(Divers29[[#This Row],[Janvier]:[Décembre]])</calculatedColumnFormula>
    </tableColumn>
    <tableColumn id="15" xr3:uid="{9392A587-C574-48AC-AB18-F9B518C76AA8}" name="Graphique sparkline" dataDxfId="1" totalsRowDxfId="0"/>
  </tableColumns>
  <tableStyleInfo showFirstColumn="1" showLastColumn="0" showRowStripes="0" showColumnStripes="1"/>
  <extLst>
    <ext xmlns:x14="http://schemas.microsoft.com/office/spreadsheetml/2009/9/main" uri="{504A1905-F514-4f6f-8877-14C23A59335A}">
      <x14:table altTextSummary="Entrez les dépenses et éléments divers dans ce tableau. Le montant annuel et les totaux mensuels sont automatiquement calculés, et les graphiques sparkline sont mis à jou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Emprunts" displayName="Emprunts" ref="G30:J37" totalsRowCount="1" headerRowDxfId="538" dataDxfId="536" totalsRowDxfId="534" headerRowBorderDxfId="537" tableBorderDxfId="535" totalsRowBorderDxfId="533">
  <autoFilter ref="G30:J36" xr:uid="{00000000-0009-0000-0100-000003000000}">
    <filterColumn colId="0" hiddenButton="1"/>
    <filterColumn colId="1" hiddenButton="1"/>
    <filterColumn colId="2" hiddenButton="1"/>
    <filterColumn colId="3" hiddenButton="1"/>
  </autoFilter>
  <tableColumns count="4">
    <tableColumn id="1" xr3:uid="{00000000-0010-0000-0200-000001000000}" name="Colonne1" totalsRowLabel="Sous-total" dataDxfId="532"/>
    <tableColumn id="2" xr3:uid="{00000000-0010-0000-0200-000002000000}" name="Coût estimé" totalsRowFunction="sum" dataDxfId="531" totalsRowDxfId="530"/>
    <tableColumn id="3" xr3:uid="{00000000-0010-0000-0200-000003000000}" name="Coût réel" totalsRowFunction="sum" dataDxfId="529" totalsRowDxfId="528"/>
    <tableColumn id="4" xr3:uid="{00000000-0010-0000-0200-000004000000}" name="Écart" totalsRowFunction="sum" dataDxfId="527">
      <calculatedColumnFormula>Emprunts[[#This Row],[Coût estimé]]-Emprunts[[#This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réels et projetés du prêt dans ce tableau. La différence est calculée automatiqueme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nsport" displayName="Transport" ref="B31:E40" totalsRowCount="1" headerRowDxfId="526" dataDxfId="524" totalsRowDxfId="522" headerRowBorderDxfId="525" tableBorderDxfId="523" totalsRowBorderDxfId="521">
  <autoFilter ref="B31:E39" xr:uid="{00000000-0009-0000-0100-000004000000}">
    <filterColumn colId="0" hiddenButton="1"/>
    <filterColumn colId="1" hiddenButton="1"/>
    <filterColumn colId="2" hiddenButton="1"/>
    <filterColumn colId="3" hiddenButton="1"/>
  </autoFilter>
  <tableColumns count="4">
    <tableColumn id="1" xr3:uid="{00000000-0010-0000-0300-000001000000}" name="Colonne1" totalsRowLabel="Sous-total" dataDxfId="520"/>
    <tableColumn id="2" xr3:uid="{00000000-0010-0000-0300-000002000000}" name="Coût estimé" totalsRowFunction="sum" dataDxfId="519" totalsRowDxfId="518"/>
    <tableColumn id="3" xr3:uid="{00000000-0010-0000-0300-000003000000}" name="Coût réel" totalsRowFunction="sum" dataDxfId="517" totalsRowDxfId="516">
      <calculatedColumnFormula>SUBTOTAL(109,Transport[Coût réel])</calculatedColumnFormula>
    </tableColumn>
    <tableColumn id="4" xr3:uid="{00000000-0010-0000-0300-000004000000}" name="Écart" totalsRowFunction="sum" dataDxfId="515">
      <calculatedColumnFormula>Transport[[#This Row],[Coût estimé]]-Transport[[#This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e transport réels et projetés dans ce tableau. La différence est calculée automatiquemen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ssurance" displayName="Assurance" ref="B43:E49" totalsRowCount="1" headerRowDxfId="514" dataDxfId="512" totalsRowDxfId="510" headerRowBorderDxfId="513" tableBorderDxfId="511" totalsRowBorderDxfId="509">
  <autoFilter ref="B43:E48" xr:uid="{00000000-0009-0000-0100-000005000000}">
    <filterColumn colId="0" hiddenButton="1"/>
    <filterColumn colId="1" hiddenButton="1"/>
    <filterColumn colId="2" hiddenButton="1"/>
    <filterColumn colId="3" hiddenButton="1"/>
  </autoFilter>
  <tableColumns count="4">
    <tableColumn id="1" xr3:uid="{00000000-0010-0000-0400-000001000000}" name="0" totalsRowLabel="Sous-total" dataDxfId="508"/>
    <tableColumn id="2" xr3:uid="{00000000-0010-0000-0400-000002000000}" name="Coût estimé" totalsRowFunction="sum" dataDxfId="507" totalsRowDxfId="506"/>
    <tableColumn id="3" xr3:uid="{00000000-0010-0000-0400-000003000000}" name="Coût réel" totalsRowFunction="sum" dataDxfId="505" totalsRowDxfId="504"/>
    <tableColumn id="4" xr3:uid="{00000000-0010-0000-0400-000004000000}" name="Écart" totalsRowFunction="sum" dataDxfId="503">
      <calculatedColumnFormula>Assurance[[#This Row],[Coût estimé]]-Assurance[[#This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assurance réels et projetés dans ce tableau. La différence est calculée automatiquemen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Impôts" displayName="Impôts" ref="G40:J46" totalsRowCount="1" headerRowDxfId="502" dataDxfId="500" totalsRowDxfId="498" headerRowBorderDxfId="501" tableBorderDxfId="499" totalsRowBorderDxfId="497">
  <autoFilter ref="G40:J45" xr:uid="{00000000-0009-0000-0100-000006000000}">
    <filterColumn colId="0" hiddenButton="1"/>
    <filterColumn colId="1" hiddenButton="1"/>
    <filterColumn colId="2" hiddenButton="1"/>
    <filterColumn colId="3" hiddenButton="1"/>
  </autoFilter>
  <tableColumns count="4">
    <tableColumn id="1" xr3:uid="{00000000-0010-0000-0500-000001000000}" name="0" totalsRowLabel="Sous-total" dataDxfId="496"/>
    <tableColumn id="2" xr3:uid="{00000000-0010-0000-0500-000002000000}" name="Coût estimé" totalsRowFunction="sum" dataDxfId="495" totalsRowDxfId="494"/>
    <tableColumn id="3" xr3:uid="{00000000-0010-0000-0500-000003000000}" name="Coût réel" totalsRowFunction="sum" dataDxfId="493" totalsRowDxfId="492"/>
    <tableColumn id="4" xr3:uid="{00000000-0010-0000-0500-000004000000}" name="Écart" totalsRowFunction="sum" dataDxfId="491">
      <calculatedColumnFormula>Impôts[[#This Row],[Coût estimé]]-Impôts[[#This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des taxes réelles et des projets dans ce tableau. La différence est calculée automatiquemen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Épargne" displayName="Épargne" ref="G49:J55" totalsRowCount="1" headerRowDxfId="490" dataDxfId="488" totalsRowDxfId="487" headerRowBorderDxfId="489" totalsRowBorderDxfId="486">
  <autoFilter ref="G49:J54" xr:uid="{00000000-0009-0000-0100-000007000000}">
    <filterColumn colId="0" hiddenButton="1"/>
    <filterColumn colId="1" hiddenButton="1"/>
    <filterColumn colId="2" hiddenButton="1"/>
    <filterColumn colId="3" hiddenButton="1"/>
  </autoFilter>
  <tableColumns count="4">
    <tableColumn id="1" xr3:uid="{00000000-0010-0000-0600-000001000000}" name="Colonne1" totalsRowLabel="Sous-total" dataDxfId="485"/>
    <tableColumn id="2" xr3:uid="{00000000-0010-0000-0600-000002000000}" name="Coût estimé" totalsRowFunction="sum" dataDxfId="484" totalsRowDxfId="483"/>
    <tableColumn id="3" xr3:uid="{00000000-0010-0000-0600-000003000000}" name="Coût réel" totalsRowFunction="sum" dataDxfId="482" totalsRowDxfId="481"/>
    <tableColumn id="4" xr3:uid="{00000000-0010-0000-0600-000004000000}" name="Écart" totalsRowFunction="sum" dataDxfId="480">
      <calculatedColumnFormula>Épargne[[#This Row],[Coût estimé]]-Épargne[[#This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réels et projetés pour l’épargne ou les investissements dans ce tableau. La différence est calculée automatiquement"/>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Nourriture" displayName="Nourriture" ref="B52:E56" totalsRowCount="1" headerRowDxfId="479" dataDxfId="477" totalsRowDxfId="475" headerRowBorderDxfId="478" tableBorderDxfId="476" totalsRowBorderDxfId="474">
  <autoFilter ref="B52:E55" xr:uid="{00000000-0009-0000-0100-000008000000}">
    <filterColumn colId="0" hiddenButton="1"/>
    <filterColumn colId="1" hiddenButton="1"/>
    <filterColumn colId="2" hiddenButton="1"/>
    <filterColumn colId="3" hiddenButton="1"/>
  </autoFilter>
  <tableColumns count="4">
    <tableColumn id="1" xr3:uid="{00000000-0010-0000-0700-000001000000}" name="Colonne1" totalsRowLabel="Sous-total" dataDxfId="473"/>
    <tableColumn id="2" xr3:uid="{00000000-0010-0000-0700-000002000000}" name="Coût estimé" totalsRowFunction="sum" dataDxfId="472" totalsRowDxfId="471"/>
    <tableColumn id="3" xr3:uid="{00000000-0010-0000-0700-000003000000}" name="Coût réel" totalsRowFunction="sum" dataDxfId="470" totalsRowDxfId="469"/>
    <tableColumn id="4" xr3:uid="{00000000-0010-0000-0700-000004000000}" name="Écart" totalsRowFunction="sum" dataDxfId="468">
      <calculatedColumnFormula>Nourriture[[#This Row],[Coût estimé]]-Nourriture[[#This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réels et les coûts réels liés à la nourriture dans ce tableau. La différence est calculée automatiquemen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adeaux" displayName="Cadeaux" ref="G58:J63" totalsRowCount="1" headerRowDxfId="467" dataDxfId="465" totalsRowDxfId="464" headerRowBorderDxfId="466" totalsRowBorderDxfId="463">
  <autoFilter ref="G58:J62" xr:uid="{00000000-0009-0000-0100-000009000000}">
    <filterColumn colId="0" hiddenButton="1"/>
    <filterColumn colId="1" hiddenButton="1"/>
    <filterColumn colId="2" hiddenButton="1"/>
    <filterColumn colId="3" hiddenButton="1"/>
  </autoFilter>
  <tableColumns count="4">
    <tableColumn id="1" xr3:uid="{00000000-0010-0000-0800-000001000000}" name="0" totalsRowLabel="Sous-total" dataDxfId="462"/>
    <tableColumn id="2" xr3:uid="{00000000-0010-0000-0800-000002000000}" name="Coût estimé" totalsRowFunction="sum" dataDxfId="461" totalsRowDxfId="460"/>
    <tableColumn id="3" xr3:uid="{00000000-0010-0000-0800-000003000000}" name="Coût réel" totalsRowFunction="sum" dataDxfId="459" totalsRowDxfId="458"/>
    <tableColumn id="4" xr3:uid="{00000000-0010-0000-0800-000004000000}" name="Écart" totalsRowFunction="sum" dataDxfId="457">
      <calculatedColumnFormula>Cadeaux[[#This Row],[Coût estimé]]-Cadeaux[[#This Row],[Coût réel]]</calculatedColumnFormula>
    </tableColumn>
  </tableColumns>
  <tableStyleInfo name="Carnet d’adresses" showFirstColumn="1" showLastColumn="1" showRowStripes="1" showColumnStripes="0"/>
  <extLst>
    <ext xmlns:x14="http://schemas.microsoft.com/office/spreadsheetml/2009/9/main" uri="{504A1905-F514-4f6f-8877-14C23A59335A}">
      <x14:table altTextSummary="Entrez les coûts réels et projetés pour les collectes de fonds et les dons dans cette ce tableau. La différence est calculée automatiquemen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31">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8.xml"/><Relationship Id="rId13" Type="http://schemas.openxmlformats.org/officeDocument/2006/relationships/table" Target="../tables/table23.xml"/><Relationship Id="rId3" Type="http://schemas.openxmlformats.org/officeDocument/2006/relationships/table" Target="../tables/table13.xml"/><Relationship Id="rId7" Type="http://schemas.openxmlformats.org/officeDocument/2006/relationships/table" Target="../tables/table17.xml"/><Relationship Id="rId12" Type="http://schemas.openxmlformats.org/officeDocument/2006/relationships/table" Target="../tables/table22.xml"/><Relationship Id="rId2" Type="http://schemas.openxmlformats.org/officeDocument/2006/relationships/drawing" Target="../drawings/drawing2.xml"/><Relationship Id="rId16" Type="http://schemas.openxmlformats.org/officeDocument/2006/relationships/table" Target="../tables/table26.xml"/><Relationship Id="rId1" Type="http://schemas.openxmlformats.org/officeDocument/2006/relationships/printerSettings" Target="../printerSettings/printerSettings2.bin"/><Relationship Id="rId6" Type="http://schemas.openxmlformats.org/officeDocument/2006/relationships/table" Target="../tables/table16.xml"/><Relationship Id="rId11" Type="http://schemas.openxmlformats.org/officeDocument/2006/relationships/table" Target="../tables/table21.xml"/><Relationship Id="rId5" Type="http://schemas.openxmlformats.org/officeDocument/2006/relationships/table" Target="../tables/table15.xml"/><Relationship Id="rId15" Type="http://schemas.openxmlformats.org/officeDocument/2006/relationships/table" Target="../tables/table25.xml"/><Relationship Id="rId10" Type="http://schemas.openxmlformats.org/officeDocument/2006/relationships/table" Target="../tables/table20.xml"/><Relationship Id="rId4" Type="http://schemas.openxmlformats.org/officeDocument/2006/relationships/table" Target="../tables/table14.xml"/><Relationship Id="rId9" Type="http://schemas.openxmlformats.org/officeDocument/2006/relationships/table" Target="../tables/table19.xml"/><Relationship Id="rId14" Type="http://schemas.openxmlformats.org/officeDocument/2006/relationships/table" Target="../tables/table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rgb="FFEDEEE6"/>
    <pageSetUpPr autoPageBreaks="0" fitToPage="1"/>
  </sheetPr>
  <dimension ref="A1:FP706"/>
  <sheetViews>
    <sheetView showGridLines="0" topLeftCell="A4" zoomScale="70" zoomScaleNormal="70" zoomScaleSheetLayoutView="30" workbookViewId="0">
      <selection activeCell="I18" sqref="I18"/>
    </sheetView>
  </sheetViews>
  <sheetFormatPr baseColWidth="10" defaultColWidth="8.85546875" defaultRowHeight="12.75"/>
  <cols>
    <col min="1" max="1" width="2.7109375" style="2" customWidth="1"/>
    <col min="2" max="2" width="36" style="3" bestFit="1" customWidth="1"/>
    <col min="3" max="5" width="20.7109375" style="3" customWidth="1"/>
    <col min="6" max="6" width="15.7109375" style="3" customWidth="1"/>
    <col min="7" max="7" width="46.7109375" style="3" bestFit="1" customWidth="1"/>
    <col min="8" max="10" width="20.7109375" style="3" customWidth="1"/>
    <col min="11" max="11" width="2.7109375" style="3" customWidth="1"/>
    <col min="12" max="172" width="8.85546875" style="6"/>
    <col min="173" max="16384" width="8.85546875" style="3"/>
  </cols>
  <sheetData>
    <row r="1" spans="1:172" s="1" customFormat="1" ht="19.899999999999999" customHeight="1">
      <c r="A1" s="23"/>
      <c r="B1" s="23"/>
      <c r="C1" s="24"/>
      <c r="D1" s="24"/>
      <c r="E1" s="24"/>
      <c r="F1" s="24"/>
      <c r="G1" s="24"/>
      <c r="H1" s="24"/>
      <c r="I1" s="24"/>
      <c r="J1" s="24"/>
      <c r="K1" s="24"/>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72" s="1" customFormat="1" ht="94.9" customHeight="1">
      <c r="A2" s="25"/>
      <c r="B2" s="222" t="s">
        <v>56</v>
      </c>
      <c r="C2" s="223"/>
      <c r="D2" s="223"/>
      <c r="E2" s="223"/>
      <c r="F2" s="223"/>
      <c r="G2" s="223"/>
      <c r="H2" s="26"/>
      <c r="I2" s="27"/>
      <c r="J2" s="27"/>
      <c r="K2" s="24"/>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72" ht="9.9499999999999993" customHeight="1">
      <c r="A3" s="28"/>
      <c r="B3" s="29"/>
      <c r="C3" s="29"/>
      <c r="D3" s="29"/>
      <c r="E3" s="29"/>
      <c r="F3" s="29"/>
      <c r="G3" s="29"/>
      <c r="H3" s="29"/>
      <c r="I3" s="29"/>
      <c r="J3" s="29"/>
      <c r="K3" s="29"/>
    </row>
    <row r="4" spans="1:172" ht="30" customHeight="1">
      <c r="A4" s="29"/>
      <c r="B4" s="230" t="s">
        <v>31</v>
      </c>
      <c r="C4" s="230"/>
      <c r="D4" s="230"/>
      <c r="E4" s="50" t="s">
        <v>138</v>
      </c>
      <c r="F4" s="29"/>
      <c r="G4" s="29"/>
      <c r="H4" s="29"/>
      <c r="I4" s="29"/>
      <c r="J4" s="29"/>
      <c r="K4" s="29"/>
    </row>
    <row r="5" spans="1:172" ht="30" customHeight="1">
      <c r="A5" s="28"/>
      <c r="B5" s="231" t="s">
        <v>32</v>
      </c>
      <c r="C5" s="232"/>
      <c r="D5" s="90"/>
      <c r="E5" s="29"/>
      <c r="F5" s="29"/>
      <c r="G5" s="29"/>
      <c r="H5" s="29"/>
      <c r="I5" s="30"/>
      <c r="J5" s="29"/>
      <c r="K5" s="29"/>
    </row>
    <row r="6" spans="1:172" ht="30" customHeight="1">
      <c r="A6" s="28"/>
      <c r="B6" s="233" t="s">
        <v>33</v>
      </c>
      <c r="C6" s="234"/>
      <c r="D6" s="91"/>
      <c r="E6" s="29"/>
      <c r="F6" s="29"/>
      <c r="G6" s="29"/>
      <c r="H6" s="29"/>
      <c r="I6" s="30"/>
      <c r="J6" s="29"/>
      <c r="K6" s="29"/>
    </row>
    <row r="7" spans="1:172" ht="30" customHeight="1">
      <c r="A7" s="28"/>
      <c r="B7" s="235" t="s">
        <v>34</v>
      </c>
      <c r="C7" s="236"/>
      <c r="D7" s="89">
        <f>SUM(D5:D6)</f>
        <v>0</v>
      </c>
      <c r="E7" s="29"/>
      <c r="F7" s="29"/>
      <c r="G7" s="237" t="s">
        <v>139</v>
      </c>
      <c r="H7" s="237"/>
      <c r="I7" s="237"/>
      <c r="J7" s="226">
        <f>D7-J76</f>
        <v>0</v>
      </c>
      <c r="K7" s="29"/>
    </row>
    <row r="8" spans="1:172" ht="30" customHeight="1">
      <c r="A8" s="28"/>
      <c r="B8" s="29"/>
      <c r="C8" s="29"/>
      <c r="D8" s="29"/>
      <c r="E8" s="29"/>
      <c r="F8" s="29"/>
      <c r="G8" s="237"/>
      <c r="H8" s="237"/>
      <c r="I8" s="237"/>
      <c r="J8" s="226"/>
      <c r="K8" s="29"/>
    </row>
    <row r="9" spans="1:172" ht="30" customHeight="1">
      <c r="A9" s="28"/>
      <c r="B9" s="230" t="s">
        <v>0</v>
      </c>
      <c r="C9" s="230"/>
      <c r="D9" s="230"/>
      <c r="E9" s="29"/>
      <c r="F9" s="29"/>
      <c r="G9" s="238" t="s">
        <v>140</v>
      </c>
      <c r="H9" s="238"/>
      <c r="I9" s="238"/>
      <c r="J9" s="227">
        <f>D12-J78</f>
        <v>0</v>
      </c>
      <c r="K9" s="29"/>
    </row>
    <row r="10" spans="1:172" ht="30" customHeight="1">
      <c r="A10" s="28"/>
      <c r="B10" s="231" t="s">
        <v>32</v>
      </c>
      <c r="C10" s="232"/>
      <c r="D10" s="90"/>
      <c r="E10" s="29"/>
      <c r="F10" s="29"/>
      <c r="G10" s="238"/>
      <c r="H10" s="238"/>
      <c r="I10" s="238"/>
      <c r="J10" s="227"/>
      <c r="K10" s="29"/>
    </row>
    <row r="11" spans="1:172" ht="30" customHeight="1">
      <c r="A11" s="28"/>
      <c r="B11" s="233" t="s">
        <v>33</v>
      </c>
      <c r="C11" s="234"/>
      <c r="D11" s="91"/>
      <c r="E11" s="29"/>
      <c r="F11" s="29"/>
      <c r="G11" s="239" t="s">
        <v>141</v>
      </c>
      <c r="H11" s="239"/>
      <c r="I11" s="239"/>
      <c r="J11" s="221">
        <f>J9-J7</f>
        <v>0</v>
      </c>
      <c r="K11" s="29"/>
    </row>
    <row r="12" spans="1:172" ht="30" customHeight="1">
      <c r="A12" s="28"/>
      <c r="B12" s="235" t="s">
        <v>35</v>
      </c>
      <c r="C12" s="236"/>
      <c r="D12" s="89">
        <f>SUM(D10:D11)</f>
        <v>0</v>
      </c>
      <c r="E12" s="29"/>
      <c r="F12" s="29"/>
      <c r="G12" s="239"/>
      <c r="H12" s="239"/>
      <c r="I12" s="239"/>
      <c r="J12" s="221"/>
      <c r="K12" s="29"/>
    </row>
    <row r="13" spans="1:172" ht="15" customHeight="1">
      <c r="A13" s="28"/>
      <c r="B13" s="31"/>
      <c r="C13" s="32"/>
      <c r="D13" s="29"/>
      <c r="E13" s="29"/>
      <c r="F13" s="29"/>
      <c r="G13" s="29"/>
      <c r="H13" s="29"/>
      <c r="I13" s="29"/>
      <c r="J13" s="29"/>
      <c r="K13" s="29"/>
    </row>
    <row r="14" spans="1:172" ht="37.9" customHeight="1">
      <c r="A14" s="28"/>
      <c r="B14" s="224" t="s">
        <v>102</v>
      </c>
      <c r="C14" s="224"/>
      <c r="D14" s="224"/>
      <c r="E14" s="224"/>
      <c r="F14" s="224"/>
      <c r="G14" s="224"/>
      <c r="H14" s="224"/>
      <c r="I14" s="224"/>
      <c r="J14" s="224"/>
      <c r="K14" s="29"/>
    </row>
    <row r="15" spans="1:172" ht="15" customHeight="1">
      <c r="A15" s="28"/>
      <c r="B15" s="33"/>
      <c r="C15" s="33"/>
      <c r="D15" s="33"/>
      <c r="E15" s="33"/>
      <c r="F15" s="33"/>
      <c r="G15" s="33"/>
      <c r="H15" s="33"/>
      <c r="I15" s="33"/>
      <c r="J15" s="33"/>
      <c r="K15" s="29"/>
    </row>
    <row r="16" spans="1:172" ht="30" customHeight="1">
      <c r="A16" s="28"/>
      <c r="B16" s="60" t="s">
        <v>1</v>
      </c>
      <c r="C16" s="61"/>
      <c r="D16" s="62"/>
      <c r="E16" s="63"/>
      <c r="F16" s="29"/>
      <c r="G16" s="61" t="s">
        <v>19</v>
      </c>
      <c r="H16" s="51"/>
      <c r="I16" s="51"/>
      <c r="J16" s="52"/>
      <c r="K16" s="29"/>
    </row>
    <row r="17" spans="1:172" ht="30" customHeight="1">
      <c r="A17" s="28"/>
      <c r="B17" s="55" t="s">
        <v>28</v>
      </c>
      <c r="C17" s="65" t="s">
        <v>29</v>
      </c>
      <c r="D17" s="65" t="s">
        <v>30</v>
      </c>
      <c r="E17" s="66" t="s">
        <v>18</v>
      </c>
      <c r="F17" s="34"/>
      <c r="G17" s="55" t="s">
        <v>28</v>
      </c>
      <c r="H17" s="65" t="s">
        <v>29</v>
      </c>
      <c r="I17" s="65" t="s">
        <v>30</v>
      </c>
      <c r="J17" s="66" t="s">
        <v>18</v>
      </c>
      <c r="K17" s="35"/>
    </row>
    <row r="18" spans="1:172" ht="30" customHeight="1">
      <c r="A18" s="28"/>
      <c r="B18" s="92" t="s">
        <v>113</v>
      </c>
      <c r="C18" s="98"/>
      <c r="D18" s="98"/>
      <c r="E18" s="93">
        <f>Logement[[#This Row],[Coût estimé]]-Logement[[#This Row],[Coût réel]]</f>
        <v>0</v>
      </c>
      <c r="F18" s="34"/>
      <c r="G18" s="67" t="s">
        <v>38</v>
      </c>
      <c r="H18" s="100"/>
      <c r="I18" s="100"/>
      <c r="J18" s="68">
        <f>Loisirs[[#This Row],[Coût estimé]]-Loisirs[[#This Row],[Coût réel]]</f>
        <v>0</v>
      </c>
      <c r="K18" s="35"/>
    </row>
    <row r="19" spans="1:172" ht="30" customHeight="1">
      <c r="A19" s="28"/>
      <c r="B19" s="94" t="s">
        <v>4</v>
      </c>
      <c r="C19" s="99"/>
      <c r="D19" s="99"/>
      <c r="E19" s="95">
        <f>Logement[[#This Row],[Coût estimé]]-Logement[[#This Row],[Coût réel]]</f>
        <v>0</v>
      </c>
      <c r="F19" s="34"/>
      <c r="G19" s="67" t="s">
        <v>43</v>
      </c>
      <c r="H19" s="100"/>
      <c r="I19" s="100"/>
      <c r="J19" s="68">
        <f>Loisirs[[#This Row],[Coût estimé]]-Loisirs[[#This Row],[Coût réel]]</f>
        <v>0</v>
      </c>
      <c r="K19" s="35"/>
    </row>
    <row r="20" spans="1:172" ht="30" customHeight="1">
      <c r="A20" s="28"/>
      <c r="B20" s="94" t="s">
        <v>5</v>
      </c>
      <c r="C20" s="99"/>
      <c r="D20" s="99"/>
      <c r="E20" s="95">
        <f>Logement[[#This Row],[Coût estimé]]-Logement[[#This Row],[Coût réel]]</f>
        <v>0</v>
      </c>
      <c r="F20" s="34"/>
      <c r="G20" s="67" t="s">
        <v>45</v>
      </c>
      <c r="H20" s="100"/>
      <c r="I20" s="100"/>
      <c r="J20" s="68">
        <f>Loisirs[[#This Row],[Coût estimé]]-Loisirs[[#This Row],[Coût réel]]</f>
        <v>0</v>
      </c>
      <c r="K20" s="35"/>
    </row>
    <row r="21" spans="1:172" ht="30" customHeight="1">
      <c r="A21" s="28"/>
      <c r="B21" s="94" t="s">
        <v>6</v>
      </c>
      <c r="C21" s="99"/>
      <c r="D21" s="99"/>
      <c r="E21" s="95">
        <f>Logement[[#This Row],[Coût estimé]]-Logement[[#This Row],[Coût réel]]</f>
        <v>0</v>
      </c>
      <c r="F21" s="34"/>
      <c r="G21" s="67" t="s">
        <v>44</v>
      </c>
      <c r="H21" s="100"/>
      <c r="I21" s="100"/>
      <c r="J21" s="68">
        <f>Loisirs[[#This Row],[Coût estimé]]-Loisirs[[#This Row],[Coût réel]]</f>
        <v>0</v>
      </c>
      <c r="K21" s="35"/>
    </row>
    <row r="22" spans="1:172" ht="30" customHeight="1">
      <c r="A22" s="28"/>
      <c r="B22" s="94" t="s">
        <v>3</v>
      </c>
      <c r="C22" s="99"/>
      <c r="D22" s="99"/>
      <c r="E22" s="95">
        <f>Logement[[#This Row],[Coût estimé]]-Logement[[#This Row],[Coût réel]]</f>
        <v>0</v>
      </c>
      <c r="F22" s="34"/>
      <c r="G22" s="67" t="s">
        <v>41</v>
      </c>
      <c r="H22" s="100"/>
      <c r="I22" s="100"/>
      <c r="J22" s="68">
        <f>Loisirs[[#This Row],[Coût estimé]]-Loisirs[[#This Row],[Coût réel]]</f>
        <v>0</v>
      </c>
      <c r="K22" s="35"/>
    </row>
    <row r="23" spans="1:172" ht="30" customHeight="1">
      <c r="A23" s="28"/>
      <c r="B23" s="94" t="s">
        <v>36</v>
      </c>
      <c r="C23" s="99"/>
      <c r="D23" s="99"/>
      <c r="E23" s="95">
        <f>Logement[[#This Row],[Coût estimé]]-Logement[[#This Row],[Coût réel]]</f>
        <v>0</v>
      </c>
      <c r="F23" s="34"/>
      <c r="G23" s="67" t="s">
        <v>40</v>
      </c>
      <c r="H23" s="100"/>
      <c r="I23" s="100"/>
      <c r="J23" s="68">
        <f>Loisirs[[#This Row],[Coût estimé]]-Loisirs[[#This Row],[Coût réel]]</f>
        <v>0</v>
      </c>
      <c r="K23" s="35"/>
    </row>
    <row r="24" spans="1:172" ht="30" customHeight="1">
      <c r="A24" s="28"/>
      <c r="B24" s="96" t="s">
        <v>37</v>
      </c>
      <c r="C24" s="99"/>
      <c r="D24" s="99"/>
      <c r="E24" s="95">
        <f>Logement[[#This Row],[Coût estimé]]-Logement[[#This Row],[Coût réel]]</f>
        <v>0</v>
      </c>
      <c r="F24" s="34"/>
      <c r="G24" s="67" t="s">
        <v>39</v>
      </c>
      <c r="H24" s="100"/>
      <c r="I24" s="100"/>
      <c r="J24" s="68">
        <f>Loisirs[[#This Row],[Coût estimé]]-Loisirs[[#This Row],[Coût réel]]</f>
        <v>0</v>
      </c>
      <c r="K24" s="35"/>
    </row>
    <row r="25" spans="1:172" ht="30" customHeight="1">
      <c r="A25" s="28"/>
      <c r="B25" s="94" t="s">
        <v>116</v>
      </c>
      <c r="C25" s="99"/>
      <c r="D25" s="99"/>
      <c r="E25" s="95">
        <f>Logement[[#This Row],[Coût estimé]]-Logement[[#This Row],[Coût réel]]</f>
        <v>0</v>
      </c>
      <c r="F25" s="34"/>
      <c r="G25" s="67" t="s">
        <v>42</v>
      </c>
      <c r="H25" s="100"/>
      <c r="I25" s="100"/>
      <c r="J25" s="68">
        <f>Loisirs[[#This Row],[Coût estimé]]-Loisirs[[#This Row],[Coût réel]]</f>
        <v>0</v>
      </c>
      <c r="K25" s="35"/>
    </row>
    <row r="26" spans="1:172" ht="30" customHeight="1">
      <c r="A26" s="28"/>
      <c r="B26" s="97" t="s">
        <v>88</v>
      </c>
      <c r="C26" s="99"/>
      <c r="D26" s="99"/>
      <c r="E26" s="95">
        <f>Logement[[#This Row],[Coût estimé]]-Logement[[#This Row],[Coût réel]]</f>
        <v>0</v>
      </c>
      <c r="F26" s="34"/>
      <c r="G26" s="67" t="s">
        <v>7</v>
      </c>
      <c r="H26" s="100"/>
      <c r="I26" s="100"/>
      <c r="J26" s="68">
        <f>Loisirs[[#This Row],[Coût estimé]]-Loisirs[[#This Row],[Coût réel]]</f>
        <v>0</v>
      </c>
      <c r="K26" s="35"/>
    </row>
    <row r="27" spans="1:172" ht="30" customHeight="1">
      <c r="A27" s="28"/>
      <c r="B27" s="97" t="s">
        <v>7</v>
      </c>
      <c r="C27" s="99"/>
      <c r="D27" s="99"/>
      <c r="E27" s="95">
        <f>Logement[[#This Row],[Coût estimé]]-Logement[[#This Row],[Coût réel]]</f>
        <v>0</v>
      </c>
      <c r="F27" s="34"/>
      <c r="G27" s="73" t="s">
        <v>8</v>
      </c>
      <c r="H27" s="76">
        <f>SUBTOTAL(109,Loisirs[Coût estimé])</f>
        <v>0</v>
      </c>
      <c r="I27" s="76">
        <f>SUBTOTAL(109,Loisirs[Coût réel])</f>
        <v>0</v>
      </c>
      <c r="J27" s="75">
        <f>SUBTOTAL(109,Loisirs[Écart])</f>
        <v>0</v>
      </c>
      <c r="K27" s="35"/>
    </row>
    <row r="28" spans="1:172" s="4" customFormat="1" ht="30" customHeight="1">
      <c r="A28" s="36"/>
      <c r="B28" s="86" t="s">
        <v>8</v>
      </c>
      <c r="C28" s="87">
        <f>SUBTOTAL(109,Logement[Coût estimé])</f>
        <v>0</v>
      </c>
      <c r="D28" s="87">
        <f>SUBTOTAL(109,Logement[Coût réel])</f>
        <v>0</v>
      </c>
      <c r="E28" s="88">
        <f>SUBTOTAL(109,Logement[Écart])</f>
        <v>0</v>
      </c>
      <c r="F28" s="37"/>
      <c r="G28" s="38"/>
      <c r="H28" s="38"/>
      <c r="I28" s="38"/>
      <c r="J28" s="38"/>
      <c r="K28" s="39"/>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row>
    <row r="29" spans="1:172" ht="30" customHeight="1">
      <c r="A29" s="28"/>
      <c r="B29" s="40"/>
      <c r="C29" s="40"/>
      <c r="D29" s="40"/>
      <c r="E29" s="40"/>
      <c r="F29" s="41"/>
      <c r="G29" s="61" t="s">
        <v>105</v>
      </c>
      <c r="H29" s="53"/>
      <c r="I29" s="53"/>
      <c r="J29" s="52"/>
      <c r="K29" s="29"/>
    </row>
    <row r="30" spans="1:172" ht="30" customHeight="1">
      <c r="A30" s="28"/>
      <c r="B30" s="64" t="s">
        <v>112</v>
      </c>
      <c r="C30" s="54"/>
      <c r="D30" s="54"/>
      <c r="E30" s="52"/>
      <c r="F30" s="41"/>
      <c r="G30" s="57" t="s">
        <v>28</v>
      </c>
      <c r="H30" s="65" t="s">
        <v>29</v>
      </c>
      <c r="I30" s="65" t="s">
        <v>30</v>
      </c>
      <c r="J30" s="66" t="s">
        <v>18</v>
      </c>
      <c r="K30" s="29"/>
    </row>
    <row r="31" spans="1:172" ht="30" customHeight="1">
      <c r="A31" s="28"/>
      <c r="B31" s="56" t="s">
        <v>28</v>
      </c>
      <c r="C31" s="65" t="s">
        <v>29</v>
      </c>
      <c r="D31" s="65" t="s">
        <v>30</v>
      </c>
      <c r="E31" s="66" t="s">
        <v>18</v>
      </c>
      <c r="F31" s="41"/>
      <c r="G31" s="67" t="s">
        <v>108</v>
      </c>
      <c r="H31" s="100"/>
      <c r="I31" s="100"/>
      <c r="J31" s="68">
        <f>Emprunts[[#This Row],[Coût estimé]]-Emprunts[[#This Row],[Coût réel]]</f>
        <v>0</v>
      </c>
      <c r="K31" s="29"/>
    </row>
    <row r="32" spans="1:172" ht="30" customHeight="1">
      <c r="A32" s="28"/>
      <c r="B32" s="67" t="s">
        <v>10</v>
      </c>
      <c r="C32" s="100"/>
      <c r="D32" s="100"/>
      <c r="E32" s="68">
        <f>Transport[[#This Row],[Coût estimé]]-Transport[[#This Row],[Coût réel]]</f>
        <v>0</v>
      </c>
      <c r="F32" s="41"/>
      <c r="G32" s="67" t="s">
        <v>110</v>
      </c>
      <c r="H32" s="100"/>
      <c r="I32" s="100"/>
      <c r="J32" s="68">
        <f>Emprunts[[#This Row],[Coût estimé]]-Emprunts[[#This Row],[Coût réel]]</f>
        <v>0</v>
      </c>
      <c r="K32" s="29"/>
    </row>
    <row r="33" spans="1:172" ht="30" customHeight="1">
      <c r="A33" s="28"/>
      <c r="B33" s="67" t="s">
        <v>9</v>
      </c>
      <c r="C33" s="100"/>
      <c r="D33" s="100"/>
      <c r="E33" s="68">
        <f>Transport[[#This Row],[Coût estimé]]-Transport[[#This Row],[Coût réel]]</f>
        <v>0</v>
      </c>
      <c r="F33" s="41"/>
      <c r="G33" s="67" t="s">
        <v>109</v>
      </c>
      <c r="H33" s="100"/>
      <c r="I33" s="100"/>
      <c r="J33" s="68">
        <f>Emprunts[[#This Row],[Coût estimé]]-Emprunts[[#This Row],[Coût réel]]</f>
        <v>0</v>
      </c>
      <c r="K33" s="29"/>
    </row>
    <row r="34" spans="1:172" ht="30" customHeight="1">
      <c r="A34" s="28"/>
      <c r="B34" s="67" t="s">
        <v>88</v>
      </c>
      <c r="C34" s="100"/>
      <c r="D34" s="100"/>
      <c r="E34" s="68">
        <f>Transport[[#This Row],[Coût estimé]]-Transport[[#This Row],[Coût réel]]</f>
        <v>0</v>
      </c>
      <c r="F34" s="41"/>
      <c r="G34" s="115" t="s">
        <v>111</v>
      </c>
      <c r="H34" s="101"/>
      <c r="I34" s="101"/>
      <c r="J34" s="68">
        <f>Emprunts[[#This Row],[Coût estimé]]-Emprunts[[#This Row],[Coût réel]]</f>
        <v>0</v>
      </c>
      <c r="K34" s="29"/>
    </row>
    <row r="35" spans="1:172" ht="30" customHeight="1">
      <c r="A35" s="28"/>
      <c r="B35" s="67" t="s">
        <v>107</v>
      </c>
      <c r="C35" s="100"/>
      <c r="D35" s="100"/>
      <c r="E35" s="68">
        <f>Transport[[#This Row],[Coût estimé]]-Transport[[#This Row],[Coût réel]]</f>
        <v>0</v>
      </c>
      <c r="F35" s="41"/>
      <c r="G35" s="67" t="s">
        <v>20</v>
      </c>
      <c r="H35" s="100"/>
      <c r="I35" s="100"/>
      <c r="J35" s="68">
        <f>Emprunts[[#This Row],[Coût estimé]]-Emprunts[[#This Row],[Coût réel]]</f>
        <v>0</v>
      </c>
      <c r="K35" s="29"/>
    </row>
    <row r="36" spans="1:172" ht="30" customHeight="1">
      <c r="A36" s="28"/>
      <c r="B36" s="67" t="s">
        <v>106</v>
      </c>
      <c r="C36" s="100"/>
      <c r="D36" s="100"/>
      <c r="E36" s="68">
        <f>Transport[[#This Row],[Coût estimé]]-Transport[[#This Row],[Coût réel]]</f>
        <v>0</v>
      </c>
      <c r="F36" s="41"/>
      <c r="G36" s="116" t="s">
        <v>7</v>
      </c>
      <c r="H36" s="102"/>
      <c r="I36" s="102"/>
      <c r="J36" s="117">
        <f>Emprunts[[#This Row],[Coût estimé]]-Emprunts[[#This Row],[Coût réel]]</f>
        <v>0</v>
      </c>
      <c r="K36" s="29"/>
    </row>
    <row r="37" spans="1:172" ht="30" customHeight="1">
      <c r="A37" s="28"/>
      <c r="B37" s="67" t="s">
        <v>93</v>
      </c>
      <c r="C37" s="100"/>
      <c r="D37" s="100"/>
      <c r="E37" s="68">
        <f>Transport[[#This Row],[Coût estimé]]-Transport[[#This Row],[Coût réel]]</f>
        <v>0</v>
      </c>
      <c r="F37" s="41"/>
      <c r="G37" s="83" t="s">
        <v>8</v>
      </c>
      <c r="H37" s="84">
        <f>SUBTOTAL(109,Emprunts[Coût estimé])</f>
        <v>0</v>
      </c>
      <c r="I37" s="84">
        <f>SUBTOTAL(109,Emprunts[Coût réel])</f>
        <v>0</v>
      </c>
      <c r="J37" s="85">
        <f>SUBTOTAL(109,Emprunts[Écart])</f>
        <v>0</v>
      </c>
      <c r="K37" s="29"/>
    </row>
    <row r="38" spans="1:172" s="4" customFormat="1" ht="30" customHeight="1">
      <c r="A38" s="36"/>
      <c r="B38" s="67" t="s">
        <v>104</v>
      </c>
      <c r="C38" s="100"/>
      <c r="D38" s="100"/>
      <c r="E38" s="68">
        <f>Transport[[#This Row],[Coût estimé]]-Transport[[#This Row],[Coût réel]]</f>
        <v>0</v>
      </c>
      <c r="F38" s="42"/>
      <c r="G38" s="38"/>
      <c r="H38" s="38"/>
      <c r="I38" s="38"/>
      <c r="J38" s="38"/>
      <c r="K38" s="39"/>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row>
    <row r="39" spans="1:172" ht="30" customHeight="1">
      <c r="A39" s="28"/>
      <c r="B39" s="67" t="s">
        <v>7</v>
      </c>
      <c r="C39" s="100"/>
      <c r="D39" s="100"/>
      <c r="E39" s="68">
        <f>Transport[[#This Row],[Coût estimé]]-Transport[[#This Row],[Coût réel]]</f>
        <v>0</v>
      </c>
      <c r="F39" s="41"/>
      <c r="G39" s="64" t="s">
        <v>21</v>
      </c>
      <c r="H39" s="54"/>
      <c r="I39" s="54"/>
      <c r="J39" s="54"/>
      <c r="K39" s="29"/>
    </row>
    <row r="40" spans="1:172" ht="30" customHeight="1">
      <c r="A40" s="28"/>
      <c r="B40" s="83" t="s">
        <v>8</v>
      </c>
      <c r="C40" s="84">
        <f>SUBTOTAL(109,Transport[Coût estimé])</f>
        <v>0</v>
      </c>
      <c r="D40" s="84">
        <f>SUBTOTAL(109,Transport[Coût réel])</f>
        <v>0</v>
      </c>
      <c r="E40" s="85">
        <f>SUBTOTAL(109,Transport[Écart])</f>
        <v>0</v>
      </c>
      <c r="F40" s="41"/>
      <c r="G40" s="55" t="s">
        <v>2</v>
      </c>
      <c r="H40" s="65" t="s">
        <v>29</v>
      </c>
      <c r="I40" s="65" t="s">
        <v>30</v>
      </c>
      <c r="J40" s="66" t="s">
        <v>18</v>
      </c>
      <c r="K40" s="29"/>
    </row>
    <row r="41" spans="1:172" ht="30" customHeight="1">
      <c r="A41" s="28"/>
      <c r="B41" s="40"/>
      <c r="C41" s="40"/>
      <c r="D41" s="40"/>
      <c r="E41" s="40"/>
      <c r="F41" s="41"/>
      <c r="G41" s="67" t="s">
        <v>46</v>
      </c>
      <c r="H41" s="103"/>
      <c r="I41" s="104"/>
      <c r="J41" s="68">
        <f>Impôts[[#This Row],[Coût estimé]]-Impôts[[#This Row],[Coût réel]]</f>
        <v>0</v>
      </c>
      <c r="K41" s="29"/>
    </row>
    <row r="42" spans="1:172" ht="30" customHeight="1">
      <c r="A42" s="28"/>
      <c r="B42" s="64" t="s">
        <v>127</v>
      </c>
      <c r="C42" s="54"/>
      <c r="D42" s="54"/>
      <c r="E42" s="54"/>
      <c r="F42" s="41"/>
      <c r="G42" s="67" t="s">
        <v>124</v>
      </c>
      <c r="H42" s="105"/>
      <c r="I42" s="106"/>
      <c r="J42" s="68">
        <f>Impôts[[#This Row],[Coût estimé]]-Impôts[[#This Row],[Coût réel]]</f>
        <v>0</v>
      </c>
      <c r="K42" s="29"/>
    </row>
    <row r="43" spans="1:172" ht="30" customHeight="1">
      <c r="A43" s="28"/>
      <c r="B43" s="57" t="s">
        <v>2</v>
      </c>
      <c r="C43" s="65" t="s">
        <v>29</v>
      </c>
      <c r="D43" s="65" t="s">
        <v>30</v>
      </c>
      <c r="E43" s="66" t="s">
        <v>18</v>
      </c>
      <c r="F43" s="41"/>
      <c r="G43" s="67" t="s">
        <v>115</v>
      </c>
      <c r="H43" s="107"/>
      <c r="I43" s="108"/>
      <c r="J43" s="68">
        <f>Impôts[[#This Row],[Coût estimé]]-Impôts[[#This Row],[Coût réel]]</f>
        <v>0</v>
      </c>
      <c r="K43" s="29"/>
    </row>
    <row r="44" spans="1:172" ht="30" customHeight="1">
      <c r="A44" s="28"/>
      <c r="B44" s="67" t="s">
        <v>114</v>
      </c>
      <c r="C44" s="100"/>
      <c r="D44" s="100"/>
      <c r="E44" s="68">
        <f>Assurance[[#This Row],[Coût estimé]]-Assurance[[#This Row],[Coût réel]]</f>
        <v>0</v>
      </c>
      <c r="F44" s="41"/>
      <c r="G44" s="67" t="s">
        <v>47</v>
      </c>
      <c r="H44" s="107"/>
      <c r="I44" s="108"/>
      <c r="J44" s="68">
        <f>Impôts[[#This Row],[Coût estimé]]-Impôts[[#This Row],[Coût réel]]</f>
        <v>0</v>
      </c>
      <c r="K44" s="29"/>
    </row>
    <row r="45" spans="1:172" ht="30" customHeight="1">
      <c r="A45" s="28"/>
      <c r="B45" s="67" t="s">
        <v>110</v>
      </c>
      <c r="C45" s="100"/>
      <c r="D45" s="100"/>
      <c r="E45" s="68">
        <f>Assurance[[#This Row],[Coût estimé]]-Assurance[[#This Row],[Coût réel]]</f>
        <v>0</v>
      </c>
      <c r="F45" s="41"/>
      <c r="G45" s="67" t="s">
        <v>7</v>
      </c>
      <c r="H45" s="109"/>
      <c r="I45" s="110"/>
      <c r="J45" s="68">
        <f>Impôts[[#This Row],[Coût estimé]]-Impôts[[#This Row],[Coût réel]]</f>
        <v>0</v>
      </c>
      <c r="K45" s="29"/>
    </row>
    <row r="46" spans="1:172" ht="30" customHeight="1">
      <c r="A46" s="28"/>
      <c r="B46" s="67" t="s">
        <v>11</v>
      </c>
      <c r="C46" s="100"/>
      <c r="D46" s="100"/>
      <c r="E46" s="68">
        <f>Assurance[[#This Row],[Coût estimé]]-Assurance[[#This Row],[Coût réel]]</f>
        <v>0</v>
      </c>
      <c r="F46" s="41"/>
      <c r="G46" s="80" t="s">
        <v>8</v>
      </c>
      <c r="H46" s="81">
        <f>SUBTOTAL(109,Impôts[Coût estimé])</f>
        <v>0</v>
      </c>
      <c r="I46" s="81">
        <f>SUBTOTAL(109,Impôts[Coût réel])</f>
        <v>0</v>
      </c>
      <c r="J46" s="82">
        <f>SUBTOTAL(109,Impôts[Écart])</f>
        <v>0</v>
      </c>
      <c r="K46" s="29"/>
    </row>
    <row r="47" spans="1:172" s="4" customFormat="1" ht="30" customHeight="1">
      <c r="A47" s="36"/>
      <c r="B47" s="67" t="s">
        <v>12</v>
      </c>
      <c r="C47" s="100"/>
      <c r="D47" s="100"/>
      <c r="E47" s="68">
        <f>Assurance[[#This Row],[Coût estimé]]-Assurance[[#This Row],[Coût réel]]</f>
        <v>0</v>
      </c>
      <c r="F47" s="42"/>
      <c r="G47" s="40"/>
      <c r="H47" s="40"/>
      <c r="I47" s="40"/>
      <c r="J47" s="40"/>
      <c r="K47" s="39"/>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row>
    <row r="48" spans="1:172" ht="30" customHeight="1">
      <c r="A48" s="28"/>
      <c r="B48" s="67" t="s">
        <v>7</v>
      </c>
      <c r="C48" s="100"/>
      <c r="D48" s="100"/>
      <c r="E48" s="68">
        <f>Assurance[[#This Row],[Coût estimé]]-Assurance[[#This Row],[Coût réel]]</f>
        <v>0</v>
      </c>
      <c r="F48" s="41"/>
      <c r="G48" s="64" t="s">
        <v>131</v>
      </c>
      <c r="H48" s="54"/>
      <c r="I48" s="54"/>
      <c r="J48" s="54"/>
      <c r="K48" s="29"/>
    </row>
    <row r="49" spans="1:172" ht="30" customHeight="1">
      <c r="A49" s="28"/>
      <c r="B49" s="80" t="s">
        <v>8</v>
      </c>
      <c r="C49" s="81">
        <f>SUBTOTAL(109,Assurance[Coût estimé])</f>
        <v>0</v>
      </c>
      <c r="D49" s="81">
        <f>SUBTOTAL(109,Assurance[Coût réel])</f>
        <v>0</v>
      </c>
      <c r="E49" s="82">
        <f>SUBTOTAL(109,Assurance[Écart])</f>
        <v>0</v>
      </c>
      <c r="F49" s="41"/>
      <c r="G49" s="55" t="s">
        <v>28</v>
      </c>
      <c r="H49" s="65" t="s">
        <v>29</v>
      </c>
      <c r="I49" s="65" t="s">
        <v>30</v>
      </c>
      <c r="J49" s="66" t="s">
        <v>18</v>
      </c>
      <c r="K49" s="29"/>
    </row>
    <row r="50" spans="1:172" ht="30" customHeight="1">
      <c r="A50" s="28"/>
      <c r="B50" s="43"/>
      <c r="C50" s="44"/>
      <c r="D50" s="44"/>
      <c r="E50" s="45"/>
      <c r="F50" s="41"/>
      <c r="G50" s="113" t="s">
        <v>125</v>
      </c>
      <c r="H50" s="111"/>
      <c r="I50" s="111"/>
      <c r="J50" s="112">
        <f>Épargne[[#This Row],[Coût estimé]]-Épargne[[#This Row],[Coût réel]]</f>
        <v>0</v>
      </c>
      <c r="K50" s="29"/>
    </row>
    <row r="51" spans="1:172" ht="30" customHeight="1">
      <c r="A51" s="28"/>
      <c r="B51" s="64" t="s">
        <v>13</v>
      </c>
      <c r="C51" s="54"/>
      <c r="D51" s="54"/>
      <c r="E51" s="54"/>
      <c r="F51" s="41"/>
      <c r="G51" s="113" t="s">
        <v>49</v>
      </c>
      <c r="H51" s="100"/>
      <c r="I51" s="100"/>
      <c r="J51" s="68">
        <f>Épargne[[#This Row],[Coût estimé]]-Épargne[[#This Row],[Coût réel]]</f>
        <v>0</v>
      </c>
      <c r="K51" s="29"/>
    </row>
    <row r="52" spans="1:172" ht="30" customHeight="1">
      <c r="A52" s="28"/>
      <c r="B52" s="58" t="s">
        <v>28</v>
      </c>
      <c r="C52" s="65" t="s">
        <v>29</v>
      </c>
      <c r="D52" s="65" t="s">
        <v>30</v>
      </c>
      <c r="E52" s="66" t="s">
        <v>18</v>
      </c>
      <c r="F52" s="41"/>
      <c r="G52" s="67" t="s">
        <v>50</v>
      </c>
      <c r="H52" s="100"/>
      <c r="I52" s="100"/>
      <c r="J52" s="68">
        <f>Épargne[[#This Row],[Coût estimé]]-Épargne[[#This Row],[Coût réel]]</f>
        <v>0</v>
      </c>
      <c r="K52" s="29"/>
    </row>
    <row r="53" spans="1:172" ht="30" customHeight="1">
      <c r="A53" s="28"/>
      <c r="B53" s="67" t="s">
        <v>14</v>
      </c>
      <c r="C53" s="100"/>
      <c r="D53" s="100"/>
      <c r="E53" s="68">
        <f>Nourriture[[#This Row],[Coût estimé]]-Nourriture[[#This Row],[Coût réel]]</f>
        <v>0</v>
      </c>
      <c r="F53" s="41"/>
      <c r="G53" s="67" t="s">
        <v>95</v>
      </c>
      <c r="H53" s="100"/>
      <c r="I53" s="100"/>
      <c r="J53" s="68">
        <f>Épargne[[#This Row],[Coût estimé]]-Épargne[[#This Row],[Coût réel]]</f>
        <v>0</v>
      </c>
      <c r="K53" s="29"/>
    </row>
    <row r="54" spans="1:172" s="4" customFormat="1" ht="30" customHeight="1">
      <c r="A54" s="36"/>
      <c r="B54" s="67" t="s">
        <v>48</v>
      </c>
      <c r="C54" s="100"/>
      <c r="D54" s="100"/>
      <c r="E54" s="68">
        <f>Nourriture[[#This Row],[Coût estimé]]-Nourriture[[#This Row],[Coût réel]]</f>
        <v>0</v>
      </c>
      <c r="F54" s="42"/>
      <c r="G54" s="67" t="s">
        <v>7</v>
      </c>
      <c r="H54" s="100"/>
      <c r="I54" s="100"/>
      <c r="J54" s="68">
        <f>Épargne[[#This Row],[Coût estimé]]-Épargne[[#This Row],[Coût réel]]</f>
        <v>0</v>
      </c>
      <c r="K54" s="39"/>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row>
    <row r="55" spans="1:172" ht="30" customHeight="1">
      <c r="A55" s="28"/>
      <c r="B55" s="67" t="s">
        <v>7</v>
      </c>
      <c r="C55" s="100"/>
      <c r="D55" s="100"/>
      <c r="E55" s="68">
        <f>Nourriture[[#This Row],[Coût estimé]]-Nourriture[[#This Row],[Coût réel]]</f>
        <v>0</v>
      </c>
      <c r="F55" s="41"/>
      <c r="G55" s="77" t="s">
        <v>8</v>
      </c>
      <c r="H55" s="78">
        <f>SUBTOTAL(109,Épargne[Coût estimé])</f>
        <v>0</v>
      </c>
      <c r="I55" s="78">
        <f>SUBTOTAL(109,Épargne[Coût réel])</f>
        <v>0</v>
      </c>
      <c r="J55" s="79">
        <f>SUBTOTAL(109,Épargne[Écart])</f>
        <v>0</v>
      </c>
      <c r="K55" s="29"/>
    </row>
    <row r="56" spans="1:172" ht="30" customHeight="1">
      <c r="A56" s="28"/>
      <c r="B56" s="73" t="s">
        <v>8</v>
      </c>
      <c r="C56" s="76">
        <f>SUBTOTAL(109,Nourriture[Coût estimé])</f>
        <v>0</v>
      </c>
      <c r="D56" s="76">
        <f>SUBTOTAL(109,Nourriture[Coût réel])</f>
        <v>0</v>
      </c>
      <c r="E56" s="75">
        <f>SUBTOTAL(109,Nourriture[Écart])</f>
        <v>0</v>
      </c>
      <c r="F56" s="41"/>
      <c r="G56" s="40"/>
      <c r="H56" s="40"/>
      <c r="I56" s="40"/>
      <c r="J56" s="40"/>
      <c r="K56" s="29"/>
    </row>
    <row r="57" spans="1:172" ht="30" customHeight="1">
      <c r="A57" s="28"/>
      <c r="B57" s="29"/>
      <c r="C57" s="29"/>
      <c r="D57" s="29"/>
      <c r="E57" s="29"/>
      <c r="F57" s="41"/>
      <c r="G57" s="64" t="s">
        <v>22</v>
      </c>
      <c r="H57" s="54"/>
      <c r="I57" s="54"/>
      <c r="J57" s="54"/>
      <c r="K57" s="29"/>
    </row>
    <row r="58" spans="1:172" ht="30" customHeight="1">
      <c r="A58" s="28"/>
      <c r="B58" s="29"/>
      <c r="C58" s="29"/>
      <c r="D58" s="29"/>
      <c r="E58" s="29"/>
      <c r="F58" s="41"/>
      <c r="G58" s="57" t="s">
        <v>2</v>
      </c>
      <c r="H58" s="65" t="s">
        <v>29</v>
      </c>
      <c r="I58" s="65" t="s">
        <v>30</v>
      </c>
      <c r="J58" s="66" t="s">
        <v>18</v>
      </c>
      <c r="K58" s="29"/>
    </row>
    <row r="59" spans="1:172" ht="30" customHeight="1">
      <c r="A59" s="28"/>
      <c r="B59" s="64" t="s">
        <v>15</v>
      </c>
      <c r="C59" s="54"/>
      <c r="D59" s="54"/>
      <c r="E59" s="54"/>
      <c r="F59" s="41"/>
      <c r="G59" s="113" t="s">
        <v>51</v>
      </c>
      <c r="H59" s="111"/>
      <c r="I59" s="111"/>
      <c r="J59" s="112">
        <f>Cadeaux[[#This Row],[Coût estimé]]-Cadeaux[[#This Row],[Coût réel]]</f>
        <v>0</v>
      </c>
      <c r="K59" s="29"/>
    </row>
    <row r="60" spans="1:172" ht="30" customHeight="1">
      <c r="A60" s="28"/>
      <c r="B60" s="59" t="s">
        <v>28</v>
      </c>
      <c r="C60" s="65" t="s">
        <v>29</v>
      </c>
      <c r="D60" s="65" t="s">
        <v>30</v>
      </c>
      <c r="E60" s="66" t="s">
        <v>18</v>
      </c>
      <c r="F60" s="41"/>
      <c r="G60" s="113" t="s">
        <v>121</v>
      </c>
      <c r="H60" s="100"/>
      <c r="I60" s="100"/>
      <c r="J60" s="68">
        <f>Cadeaux[[#This Row],[Coût estimé]]-Cadeaux[[#This Row],[Coût réel]]</f>
        <v>0</v>
      </c>
      <c r="K60" s="29"/>
    </row>
    <row r="61" spans="1:172" ht="30" customHeight="1">
      <c r="A61" s="28"/>
      <c r="B61" s="67" t="s">
        <v>13</v>
      </c>
      <c r="C61" s="100"/>
      <c r="D61" s="100"/>
      <c r="E61" s="68">
        <f>Animaux[[#This Row],[Coût estimé]]-Animaux[[#This Row],[Coût réel]]</f>
        <v>0</v>
      </c>
      <c r="F61" s="41"/>
      <c r="G61" s="67" t="s">
        <v>52</v>
      </c>
      <c r="H61" s="100"/>
      <c r="I61" s="100"/>
      <c r="J61" s="68">
        <f>Cadeaux[[#This Row],[Coût estimé]]-Cadeaux[[#This Row],[Coût réel]]</f>
        <v>0</v>
      </c>
      <c r="K61" s="29"/>
    </row>
    <row r="62" spans="1:172" ht="30" customHeight="1">
      <c r="A62" s="28"/>
      <c r="B62" s="67" t="s">
        <v>119</v>
      </c>
      <c r="C62" s="100"/>
      <c r="D62" s="100"/>
      <c r="E62" s="68">
        <f>Animaux[[#This Row],[Coût estimé]]-Animaux[[#This Row],[Coût réel]]</f>
        <v>0</v>
      </c>
      <c r="F62" s="41"/>
      <c r="G62" s="67" t="s">
        <v>7</v>
      </c>
      <c r="H62" s="100"/>
      <c r="I62" s="100"/>
      <c r="J62" s="68">
        <f>Cadeaux[[#This Row],[Coût estimé]]-Cadeaux[[#This Row],[Coût réel]]</f>
        <v>0</v>
      </c>
      <c r="K62" s="29"/>
    </row>
    <row r="63" spans="1:172" ht="30" customHeight="1">
      <c r="A63" s="28"/>
      <c r="B63" s="67" t="s">
        <v>16</v>
      </c>
      <c r="C63" s="100"/>
      <c r="D63" s="100"/>
      <c r="E63" s="68">
        <f>Animaux[[#This Row],[Coût estimé]]-Animaux[[#This Row],[Coût réel]]</f>
        <v>0</v>
      </c>
      <c r="F63" s="41"/>
      <c r="G63" s="73" t="s">
        <v>8</v>
      </c>
      <c r="H63" s="76">
        <f>SUBTOTAL(109,Cadeaux[Coût estimé])</f>
        <v>0</v>
      </c>
      <c r="I63" s="76">
        <f>SUBTOTAL(109,Cadeaux[Coût réel])</f>
        <v>0</v>
      </c>
      <c r="J63" s="75">
        <f>SUBTOTAL(109,Cadeaux[Écart])</f>
        <v>0</v>
      </c>
      <c r="K63" s="29"/>
    </row>
    <row r="64" spans="1:172" ht="30" customHeight="1">
      <c r="A64" s="28"/>
      <c r="B64" s="67" t="s">
        <v>17</v>
      </c>
      <c r="C64" s="100"/>
      <c r="D64" s="100"/>
      <c r="E64" s="68">
        <f>Animaux[[#This Row],[Coût estimé]]-Animaux[[#This Row],[Coût réel]]</f>
        <v>0</v>
      </c>
      <c r="F64" s="41"/>
      <c r="G64" s="29"/>
      <c r="H64" s="29"/>
      <c r="I64" s="29"/>
      <c r="J64" s="29"/>
      <c r="K64" s="29"/>
    </row>
    <row r="65" spans="1:172" s="4" customFormat="1" ht="30" customHeight="1">
      <c r="A65" s="36"/>
      <c r="B65" s="67" t="s">
        <v>7</v>
      </c>
      <c r="C65" s="101"/>
      <c r="D65" s="101"/>
      <c r="E65" s="114">
        <f>Animaux[[#This Row],[Coût estimé]]-Animaux[[#This Row],[Coût réel]]</f>
        <v>0</v>
      </c>
      <c r="F65" s="42"/>
      <c r="G65" s="64" t="s">
        <v>53</v>
      </c>
      <c r="H65" s="54"/>
      <c r="I65" s="54"/>
      <c r="J65" s="54"/>
      <c r="K65" s="39"/>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row>
    <row r="66" spans="1:172" ht="30" customHeight="1">
      <c r="A66" s="28"/>
      <c r="B66" s="73" t="s">
        <v>8</v>
      </c>
      <c r="C66" s="76">
        <f>SUBTOTAL(109,Animaux[Coût estimé])</f>
        <v>0</v>
      </c>
      <c r="D66" s="76">
        <f>SUBTOTAL(109,Animaux[Coût réel])</f>
        <v>0</v>
      </c>
      <c r="E66" s="75">
        <f>SUBTOTAL(109,Animaux[Écart])</f>
        <v>0</v>
      </c>
      <c r="F66" s="41"/>
      <c r="G66" s="57" t="s">
        <v>28</v>
      </c>
      <c r="H66" s="65" t="s">
        <v>29</v>
      </c>
      <c r="I66" s="65" t="s">
        <v>30</v>
      </c>
      <c r="J66" s="66" t="s">
        <v>18</v>
      </c>
      <c r="K66" s="29"/>
    </row>
    <row r="67" spans="1:172" ht="30" customHeight="1">
      <c r="A67" s="28"/>
      <c r="B67" s="40"/>
      <c r="C67" s="40"/>
      <c r="D67" s="40"/>
      <c r="E67" s="40"/>
      <c r="F67" s="41"/>
      <c r="G67" s="67" t="s">
        <v>23</v>
      </c>
      <c r="H67" s="111"/>
      <c r="I67" s="111"/>
      <c r="J67" s="112">
        <f>Juridique[[#This Row],[Coût estimé]]-Juridique[[#This Row],[Coût réel]]</f>
        <v>0</v>
      </c>
      <c r="K67" s="29"/>
    </row>
    <row r="68" spans="1:172" ht="30" customHeight="1">
      <c r="A68" s="28"/>
      <c r="B68" s="64" t="s">
        <v>135</v>
      </c>
      <c r="C68" s="54"/>
      <c r="D68" s="54"/>
      <c r="E68" s="54"/>
      <c r="F68" s="41"/>
      <c r="G68" s="67" t="s">
        <v>89</v>
      </c>
      <c r="H68" s="100"/>
      <c r="I68" s="100"/>
      <c r="J68" s="68">
        <f>Juridique[[#This Row],[Coût estimé]]-Juridique[[#This Row],[Coût réel]]</f>
        <v>0</v>
      </c>
      <c r="K68" s="29"/>
    </row>
    <row r="69" spans="1:172" ht="30" customHeight="1">
      <c r="A69" s="28"/>
      <c r="B69" s="55" t="s">
        <v>28</v>
      </c>
      <c r="C69" s="65" t="s">
        <v>29</v>
      </c>
      <c r="D69" s="65" t="s">
        <v>30</v>
      </c>
      <c r="E69" s="66" t="s">
        <v>18</v>
      </c>
      <c r="F69" s="41"/>
      <c r="G69" s="67" t="s">
        <v>91</v>
      </c>
      <c r="H69" s="100"/>
      <c r="I69" s="100"/>
      <c r="J69" s="68">
        <f>Juridique[[#This Row],[Coût estimé]]-Juridique[[#This Row],[Coût réel]]</f>
        <v>0</v>
      </c>
      <c r="K69" s="29"/>
    </row>
    <row r="70" spans="1:172" ht="30" customHeight="1">
      <c r="A70" s="28"/>
      <c r="B70" s="67" t="s">
        <v>117</v>
      </c>
      <c r="C70" s="100"/>
      <c r="D70" s="100"/>
      <c r="E70" s="68">
        <f>SoinsPersonnels[[#This Row],[Coût estimé]]-SoinsPersonnels[[#This Row],[Coût réel]]</f>
        <v>0</v>
      </c>
      <c r="F70" s="41"/>
      <c r="G70" s="67" t="s">
        <v>90</v>
      </c>
      <c r="H70" s="100"/>
      <c r="I70" s="100"/>
      <c r="J70" s="68">
        <f>Juridique[[#This Row],[Coût estimé]]-Juridique[[#This Row],[Coût réel]]</f>
        <v>0</v>
      </c>
      <c r="K70" s="29"/>
    </row>
    <row r="71" spans="1:172" ht="30" customHeight="1">
      <c r="A71" s="28"/>
      <c r="B71" s="67" t="s">
        <v>118</v>
      </c>
      <c r="C71" s="100"/>
      <c r="D71" s="100"/>
      <c r="E71" s="68">
        <f>SoinsPersonnels[[#This Row],[Coût estimé]]-SoinsPersonnels[[#This Row],[Coût réel]]</f>
        <v>0</v>
      </c>
      <c r="F71" s="41"/>
      <c r="G71" s="67" t="s">
        <v>7</v>
      </c>
      <c r="H71" s="100"/>
      <c r="I71" s="100"/>
      <c r="J71" s="68">
        <f>Juridique[[#This Row],[Coût estimé]]-Juridique[[#This Row],[Coût réel]]</f>
        <v>0</v>
      </c>
      <c r="K71" s="29"/>
    </row>
    <row r="72" spans="1:172" ht="30" customHeight="1">
      <c r="A72" s="28"/>
      <c r="B72" s="67" t="s">
        <v>120</v>
      </c>
      <c r="C72" s="100"/>
      <c r="D72" s="100"/>
      <c r="E72" s="68">
        <f>SoinsPersonnels[[#This Row],[Coût estimé]]-SoinsPersonnels[[#This Row],[Coût réel]]</f>
        <v>0</v>
      </c>
      <c r="F72" s="41"/>
      <c r="G72" s="73" t="s">
        <v>8</v>
      </c>
      <c r="H72" s="74">
        <f>SUBTOTAL(109,Juridique[Coût estimé])</f>
        <v>0</v>
      </c>
      <c r="I72" s="74">
        <f>SUBTOTAL(109,Juridique[Coût réel])</f>
        <v>0</v>
      </c>
      <c r="J72" s="75">
        <f>SUBTOTAL(109,Juridique[Écart])</f>
        <v>0</v>
      </c>
      <c r="K72" s="29"/>
    </row>
    <row r="73" spans="1:172" ht="30" customHeight="1">
      <c r="A73" s="28"/>
      <c r="B73" s="67" t="s">
        <v>122</v>
      </c>
      <c r="C73" s="100"/>
      <c r="D73" s="100"/>
      <c r="E73" s="68">
        <f>SoinsPersonnels[[#This Row],[Coût estimé]]-SoinsPersonnels[[#This Row],[Coût réel]]</f>
        <v>0</v>
      </c>
      <c r="F73" s="41"/>
      <c r="G73" s="40"/>
      <c r="H73" s="40"/>
      <c r="I73" s="40"/>
      <c r="J73" s="40"/>
      <c r="K73" s="29"/>
    </row>
    <row r="74" spans="1:172" ht="30" customHeight="1">
      <c r="A74" s="28"/>
      <c r="B74" s="67" t="s">
        <v>123</v>
      </c>
      <c r="C74" s="100"/>
      <c r="D74" s="100"/>
      <c r="E74" s="68">
        <f>SoinsPersonnels[[#This Row],[Coût estimé]]-SoinsPersonnels[[#This Row],[Coût réel]]</f>
        <v>0</v>
      </c>
      <c r="F74" s="41"/>
      <c r="G74" s="40"/>
      <c r="H74" s="40"/>
      <c r="I74" s="40"/>
      <c r="J74" s="40"/>
      <c r="K74" s="29"/>
    </row>
    <row r="75" spans="1:172" ht="30" customHeight="1">
      <c r="A75" s="28"/>
      <c r="B75" s="69" t="s">
        <v>7</v>
      </c>
      <c r="C75" s="100"/>
      <c r="D75" s="100"/>
      <c r="E75" s="68">
        <f>SoinsPersonnels[[#This Row],[Coût estimé]]-SoinsPersonnels[[#This Row],[Coût réel]]</f>
        <v>0</v>
      </c>
      <c r="F75" s="41"/>
      <c r="G75" s="40"/>
      <c r="H75" s="40"/>
      <c r="I75" s="40"/>
      <c r="J75" s="40"/>
      <c r="K75" s="29"/>
    </row>
    <row r="76" spans="1:172" ht="30" customHeight="1">
      <c r="A76" s="28"/>
      <c r="B76" s="70" t="s">
        <v>8</v>
      </c>
      <c r="C76" s="71">
        <f>SUBTOTAL(109,SoinsPersonnels[Coût estimé])</f>
        <v>0</v>
      </c>
      <c r="D76" s="71">
        <f>SUBTOTAL(109,SoinsPersonnels[Coût réel])</f>
        <v>0</v>
      </c>
      <c r="E76" s="72">
        <f>SUBTOTAL(109,SoinsPersonnels[Écart])</f>
        <v>0</v>
      </c>
      <c r="F76" s="41"/>
      <c r="G76" s="228" t="s">
        <v>24</v>
      </c>
      <c r="H76" s="228"/>
      <c r="I76" s="228"/>
      <c r="J76" s="226">
        <f>SUBTOTAL(109,Logement[Coût estimé],Transport[Coût estimé],Assurance[Coût estimé],Nourriture[Coût estimé],Animaux[Coût estimé],SoinsPersonnels[Coût estimé],Loisirs[Coût estimé],Emprunts[Coût estimé],Impôts[Coût estimé],Épargne[Coût estimé],Cadeaux[Coût estimé],Juridique[Coût estimé])</f>
        <v>0</v>
      </c>
      <c r="K76" s="29"/>
    </row>
    <row r="77" spans="1:172" ht="30" customHeight="1">
      <c r="A77" s="28"/>
      <c r="B77" s="40"/>
      <c r="C77" s="40"/>
      <c r="D77" s="40"/>
      <c r="E77" s="40"/>
      <c r="F77" s="41"/>
      <c r="G77" s="228"/>
      <c r="H77" s="228"/>
      <c r="I77" s="228"/>
      <c r="J77" s="226"/>
      <c r="K77" s="29"/>
    </row>
    <row r="78" spans="1:172" ht="30" customHeight="1">
      <c r="A78" s="28"/>
      <c r="B78" s="40"/>
      <c r="C78" s="40"/>
      <c r="D78" s="40"/>
      <c r="E78" s="40"/>
      <c r="F78" s="41"/>
      <c r="G78" s="229" t="s">
        <v>25</v>
      </c>
      <c r="H78" s="229"/>
      <c r="I78" s="229"/>
      <c r="J78" s="227">
        <f>SUBTOTAL(109,Logement[Coût réel],Transport[Coût réel],Assurance[Coût réel],Nourriture[Coût réel],Animaux[Coût réel],SoinsPersonnels[Coût réel],Loisirs[Coût réel],Emprunts[Coût réel],Impôts[Coût réel],Épargne[Coût réel],Cadeaux[Coût réel],Juridique[Coût réel])</f>
        <v>0</v>
      </c>
      <c r="K78" s="29"/>
    </row>
    <row r="79" spans="1:172" s="6" customFormat="1" ht="30" customHeight="1">
      <c r="A79" s="46"/>
      <c r="B79" s="225" t="s">
        <v>156</v>
      </c>
      <c r="C79" s="225"/>
      <c r="D79" s="225"/>
      <c r="E79" s="225"/>
      <c r="F79" s="40"/>
      <c r="G79" s="229"/>
      <c r="H79" s="229"/>
      <c r="I79" s="229"/>
      <c r="J79" s="227"/>
      <c r="K79" s="40"/>
    </row>
    <row r="80" spans="1:172" s="6" customFormat="1" ht="30" customHeight="1">
      <c r="A80" s="46"/>
      <c r="B80" s="118"/>
      <c r="C80" s="118"/>
      <c r="D80" s="118"/>
      <c r="E80" s="118"/>
      <c r="F80" s="40"/>
      <c r="G80" s="220" t="s">
        <v>26</v>
      </c>
      <c r="H80" s="220"/>
      <c r="I80" s="220"/>
      <c r="J80" s="221">
        <f>J76-J78</f>
        <v>0</v>
      </c>
      <c r="K80" s="40"/>
    </row>
    <row r="81" spans="1:14" s="6" customFormat="1" ht="30" customHeight="1">
      <c r="A81" s="46"/>
      <c r="B81" s="119"/>
      <c r="C81" s="120"/>
      <c r="D81" s="120"/>
      <c r="E81" s="121" t="s">
        <v>55</v>
      </c>
      <c r="F81" s="40"/>
      <c r="G81" s="220"/>
      <c r="H81" s="220"/>
      <c r="I81" s="220"/>
      <c r="J81" s="221"/>
      <c r="K81" s="40"/>
    </row>
    <row r="82" spans="1:14" s="6" customFormat="1" ht="30" customHeight="1">
      <c r="A82" s="47"/>
      <c r="B82" s="48"/>
      <c r="C82" s="48"/>
      <c r="D82" s="48"/>
      <c r="E82" s="48"/>
      <c r="F82" s="48"/>
      <c r="G82" s="48"/>
      <c r="H82" s="48"/>
      <c r="I82" s="48"/>
      <c r="J82" s="48"/>
      <c r="K82" s="49"/>
      <c r="L82" s="16"/>
      <c r="M82" s="16"/>
      <c r="N82" s="16"/>
    </row>
    <row r="83" spans="1:14" s="6" customFormat="1" ht="30" customHeight="1">
      <c r="A83" s="18"/>
      <c r="B83" s="16"/>
      <c r="C83" s="16"/>
      <c r="D83" s="16"/>
      <c r="E83" s="16"/>
      <c r="F83" s="16"/>
      <c r="G83" s="16"/>
      <c r="H83" s="16"/>
      <c r="I83" s="16"/>
      <c r="J83" s="16"/>
      <c r="K83" s="16"/>
      <c r="L83" s="16"/>
      <c r="M83" s="16"/>
      <c r="N83" s="16"/>
    </row>
    <row r="84" spans="1:14" s="6" customFormat="1" ht="30" customHeight="1">
      <c r="A84" s="18"/>
      <c r="B84" s="16"/>
      <c r="C84" s="16"/>
      <c r="D84" s="16"/>
      <c r="E84" s="16"/>
      <c r="F84" s="16"/>
      <c r="G84" s="16"/>
      <c r="H84" s="16"/>
      <c r="I84" s="16"/>
      <c r="J84" s="16"/>
      <c r="K84" s="16"/>
      <c r="L84" s="16"/>
      <c r="M84" s="16"/>
      <c r="N84" s="16"/>
    </row>
    <row r="85" spans="1:14" s="6" customFormat="1" ht="30" customHeight="1">
      <c r="A85" s="18"/>
      <c r="B85" s="16"/>
      <c r="C85" s="16"/>
      <c r="D85" s="16"/>
      <c r="E85" s="16"/>
      <c r="F85" s="16"/>
      <c r="G85" s="16"/>
      <c r="H85" s="16"/>
      <c r="I85" s="16"/>
      <c r="J85" s="16"/>
      <c r="K85" s="16"/>
      <c r="L85" s="16"/>
      <c r="M85" s="16"/>
      <c r="N85" s="16"/>
    </row>
    <row r="86" spans="1:14" s="6" customFormat="1" ht="30" customHeight="1">
      <c r="A86" s="8"/>
    </row>
    <row r="87" spans="1:14" s="6" customFormat="1" ht="30" customHeight="1">
      <c r="A87" s="8"/>
    </row>
    <row r="88" spans="1:14" s="6" customFormat="1" ht="30" customHeight="1">
      <c r="A88" s="8"/>
    </row>
    <row r="89" spans="1:14" s="6" customFormat="1" ht="30" customHeight="1">
      <c r="A89" s="8"/>
    </row>
    <row r="90" spans="1:14" s="6" customFormat="1" ht="30" customHeight="1">
      <c r="A90" s="8"/>
    </row>
    <row r="91" spans="1:14" s="6" customFormat="1" ht="30" customHeight="1">
      <c r="A91" s="8"/>
    </row>
    <row r="92" spans="1:14" s="6" customFormat="1" ht="30" customHeight="1">
      <c r="A92" s="8"/>
      <c r="F92" s="16"/>
      <c r="G92" s="16"/>
      <c r="H92" s="16"/>
      <c r="I92" s="16"/>
      <c r="J92" s="16"/>
    </row>
    <row r="93" spans="1:14" s="6" customFormat="1" ht="30" customHeight="1">
      <c r="A93" s="8"/>
      <c r="F93" s="16"/>
      <c r="G93" s="17"/>
      <c r="H93" s="17"/>
      <c r="I93" s="17"/>
      <c r="J93" s="17"/>
    </row>
    <row r="94" spans="1:14" s="6" customFormat="1" ht="30" customHeight="1">
      <c r="A94" s="8"/>
    </row>
    <row r="95" spans="1:14" s="6" customFormat="1" ht="30" customHeight="1">
      <c r="A95" s="8"/>
    </row>
    <row r="96" spans="1:14" s="6" customFormat="1" ht="30" customHeight="1">
      <c r="A96" s="8"/>
    </row>
    <row r="97" spans="1:1" s="6" customFormat="1" ht="30" customHeight="1">
      <c r="A97" s="8"/>
    </row>
    <row r="98" spans="1:1" s="6" customFormat="1" ht="30" customHeight="1">
      <c r="A98" s="8"/>
    </row>
    <row r="99" spans="1:1" s="6" customFormat="1" ht="30" customHeight="1">
      <c r="A99" s="8"/>
    </row>
    <row r="100" spans="1:1" s="6" customFormat="1" ht="30" customHeight="1">
      <c r="A100" s="8"/>
    </row>
    <row r="101" spans="1:1" s="6" customFormat="1" ht="30" customHeight="1">
      <c r="A101" s="8"/>
    </row>
    <row r="102" spans="1:1" s="6" customFormat="1" ht="30" customHeight="1">
      <c r="A102" s="8"/>
    </row>
    <row r="103" spans="1:1" s="6" customFormat="1" ht="30" customHeight="1">
      <c r="A103" s="8"/>
    </row>
    <row r="104" spans="1:1" s="6" customFormat="1" ht="30" customHeight="1">
      <c r="A104" s="8"/>
    </row>
    <row r="105" spans="1:1" s="6" customFormat="1" ht="30" customHeight="1">
      <c r="A105" s="8"/>
    </row>
    <row r="106" spans="1:1" s="6" customFormat="1" ht="30" customHeight="1">
      <c r="A106" s="8"/>
    </row>
    <row r="107" spans="1:1" s="6" customFormat="1" ht="30" customHeight="1">
      <c r="A107" s="8"/>
    </row>
    <row r="108" spans="1:1" s="6" customFormat="1" ht="30" customHeight="1">
      <c r="A108" s="8"/>
    </row>
    <row r="109" spans="1:1" s="6" customFormat="1" ht="30" customHeight="1">
      <c r="A109" s="8"/>
    </row>
    <row r="110" spans="1:1" s="6" customFormat="1" ht="30" customHeight="1">
      <c r="A110" s="8"/>
    </row>
    <row r="111" spans="1:1" s="6" customFormat="1" ht="30" customHeight="1">
      <c r="A111" s="8"/>
    </row>
    <row r="112" spans="1:1" s="6" customFormat="1" ht="30" customHeight="1">
      <c r="A112" s="8"/>
    </row>
    <row r="113" spans="1:1" s="6" customFormat="1" ht="30" customHeight="1">
      <c r="A113" s="8"/>
    </row>
    <row r="114" spans="1:1" s="6" customFormat="1" ht="30" customHeight="1">
      <c r="A114" s="8"/>
    </row>
    <row r="115" spans="1:1" s="6" customFormat="1" ht="30" customHeight="1">
      <c r="A115" s="8"/>
    </row>
    <row r="116" spans="1:1" s="6" customFormat="1" ht="30" customHeight="1">
      <c r="A116" s="8"/>
    </row>
    <row r="117" spans="1:1" s="6" customFormat="1" ht="30" customHeight="1">
      <c r="A117" s="8"/>
    </row>
    <row r="118" spans="1:1" s="6" customFormat="1" ht="30" customHeight="1">
      <c r="A118" s="8"/>
    </row>
    <row r="119" spans="1:1" s="6" customFormat="1" ht="30" customHeight="1">
      <c r="A119" s="8"/>
    </row>
    <row r="120" spans="1:1" s="6" customFormat="1" ht="30" customHeight="1">
      <c r="A120" s="8"/>
    </row>
    <row r="121" spans="1:1" s="6" customFormat="1" ht="30" customHeight="1">
      <c r="A121" s="8"/>
    </row>
    <row r="122" spans="1:1" s="6" customFormat="1" ht="30" customHeight="1">
      <c r="A122" s="8"/>
    </row>
    <row r="123" spans="1:1" s="6" customFormat="1" ht="30" customHeight="1">
      <c r="A123" s="8"/>
    </row>
    <row r="124" spans="1:1" s="6" customFormat="1" ht="30" customHeight="1">
      <c r="A124" s="8"/>
    </row>
    <row r="125" spans="1:1" s="6" customFormat="1" ht="30" customHeight="1">
      <c r="A125" s="8"/>
    </row>
    <row r="126" spans="1:1" s="6" customFormat="1" ht="30" customHeight="1">
      <c r="A126" s="8"/>
    </row>
    <row r="127" spans="1:1" s="6" customFormat="1" ht="30" customHeight="1">
      <c r="A127" s="8"/>
    </row>
    <row r="128" spans="1:1" s="6" customFormat="1" ht="30" customHeight="1">
      <c r="A128" s="8"/>
    </row>
    <row r="129" spans="1:1" s="6" customFormat="1" ht="30" customHeight="1">
      <c r="A129" s="8"/>
    </row>
    <row r="130" spans="1:1" s="6" customFormat="1" ht="30" customHeight="1">
      <c r="A130" s="8"/>
    </row>
    <row r="131" spans="1:1" s="6" customFormat="1" ht="30" customHeight="1">
      <c r="A131" s="8"/>
    </row>
    <row r="132" spans="1:1" s="6" customFormat="1" ht="30" customHeight="1">
      <c r="A132" s="8"/>
    </row>
    <row r="133" spans="1:1" s="6" customFormat="1" ht="30" customHeight="1">
      <c r="A133" s="8"/>
    </row>
    <row r="134" spans="1:1" s="6" customFormat="1" ht="30" customHeight="1">
      <c r="A134" s="8"/>
    </row>
    <row r="135" spans="1:1" s="6" customFormat="1" ht="30" customHeight="1">
      <c r="A135" s="8"/>
    </row>
    <row r="136" spans="1:1" s="6" customFormat="1" ht="30" customHeight="1">
      <c r="A136" s="8"/>
    </row>
    <row r="137" spans="1:1" s="6" customFormat="1" ht="30" customHeight="1">
      <c r="A137" s="8"/>
    </row>
    <row r="138" spans="1:1" s="6" customFormat="1" ht="30" customHeight="1">
      <c r="A138" s="8"/>
    </row>
    <row r="139" spans="1:1" s="6" customFormat="1" ht="30" customHeight="1">
      <c r="A139" s="8"/>
    </row>
    <row r="140" spans="1:1" s="6" customFormat="1" ht="30" customHeight="1">
      <c r="A140" s="8"/>
    </row>
    <row r="141" spans="1:1" s="6" customFormat="1" ht="30" customHeight="1">
      <c r="A141" s="8"/>
    </row>
    <row r="142" spans="1:1" s="6" customFormat="1" ht="30" customHeight="1">
      <c r="A142" s="8"/>
    </row>
    <row r="143" spans="1:1" s="6" customFormat="1" ht="30" customHeight="1">
      <c r="A143" s="8"/>
    </row>
    <row r="144" spans="1:1" s="6" customFormat="1" ht="30" customHeight="1">
      <c r="A144" s="8"/>
    </row>
    <row r="145" spans="1:1" s="6" customFormat="1" ht="30" customHeight="1">
      <c r="A145" s="8"/>
    </row>
    <row r="146" spans="1:1" s="6" customFormat="1" ht="30" customHeight="1">
      <c r="A146" s="8"/>
    </row>
    <row r="147" spans="1:1" s="6" customFormat="1" ht="30" customHeight="1">
      <c r="A147" s="8"/>
    </row>
    <row r="148" spans="1:1" s="6" customFormat="1" ht="30" customHeight="1">
      <c r="A148" s="8"/>
    </row>
    <row r="149" spans="1:1" s="6" customFormat="1" ht="30" customHeight="1">
      <c r="A149" s="8"/>
    </row>
    <row r="150" spans="1:1" s="6" customFormat="1" ht="30" customHeight="1">
      <c r="A150" s="8"/>
    </row>
    <row r="151" spans="1:1" s="6" customFormat="1" ht="30" customHeight="1">
      <c r="A151" s="8"/>
    </row>
    <row r="152" spans="1:1" s="6" customFormat="1" ht="30" customHeight="1">
      <c r="A152" s="8"/>
    </row>
    <row r="153" spans="1:1" s="6" customFormat="1" ht="30" customHeight="1">
      <c r="A153" s="8"/>
    </row>
    <row r="154" spans="1:1" s="6" customFormat="1" ht="30" customHeight="1">
      <c r="A154" s="8"/>
    </row>
    <row r="155" spans="1:1" s="6" customFormat="1" ht="30" customHeight="1">
      <c r="A155" s="8"/>
    </row>
    <row r="156" spans="1:1" s="6" customFormat="1" ht="30" customHeight="1">
      <c r="A156" s="8"/>
    </row>
    <row r="157" spans="1:1" s="6" customFormat="1" ht="30" customHeight="1">
      <c r="A157" s="8"/>
    </row>
    <row r="158" spans="1:1" s="6" customFormat="1" ht="30" customHeight="1">
      <c r="A158" s="8"/>
    </row>
    <row r="159" spans="1:1" s="6" customFormat="1" ht="30" customHeight="1">
      <c r="A159" s="8"/>
    </row>
    <row r="160" spans="1:1" s="6" customFormat="1" ht="30" customHeight="1">
      <c r="A160" s="8"/>
    </row>
    <row r="161" spans="1:1" s="6" customFormat="1" ht="30" customHeight="1">
      <c r="A161" s="8"/>
    </row>
    <row r="162" spans="1:1" s="6" customFormat="1" ht="30" customHeight="1">
      <c r="A162" s="8"/>
    </row>
    <row r="163" spans="1:1" s="6" customFormat="1" ht="30" customHeight="1">
      <c r="A163" s="8"/>
    </row>
    <row r="164" spans="1:1" s="6" customFormat="1" ht="30" customHeight="1">
      <c r="A164" s="8"/>
    </row>
    <row r="165" spans="1:1" s="6" customFormat="1" ht="30" customHeight="1">
      <c r="A165" s="8"/>
    </row>
    <row r="166" spans="1:1" s="6" customFormat="1" ht="30" customHeight="1">
      <c r="A166" s="8"/>
    </row>
    <row r="167" spans="1:1" s="6" customFormat="1" ht="30" customHeight="1">
      <c r="A167" s="8"/>
    </row>
    <row r="168" spans="1:1" s="6" customFormat="1" ht="30" customHeight="1">
      <c r="A168" s="8"/>
    </row>
    <row r="169" spans="1:1" s="6" customFormat="1" ht="30" customHeight="1">
      <c r="A169" s="8"/>
    </row>
    <row r="170" spans="1:1" s="6" customFormat="1" ht="30" customHeight="1">
      <c r="A170" s="8"/>
    </row>
    <row r="171" spans="1:1" s="6" customFormat="1" ht="30" customHeight="1">
      <c r="A171" s="8"/>
    </row>
    <row r="172" spans="1:1" s="6" customFormat="1" ht="30" customHeight="1">
      <c r="A172" s="8"/>
    </row>
    <row r="173" spans="1:1" s="6" customFormat="1" ht="30" customHeight="1">
      <c r="A173" s="8"/>
    </row>
    <row r="174" spans="1:1" s="6" customFormat="1" ht="30" customHeight="1">
      <c r="A174" s="8"/>
    </row>
    <row r="175" spans="1:1" s="6" customFormat="1" ht="30" customHeight="1">
      <c r="A175" s="8"/>
    </row>
    <row r="176" spans="1:1" s="6" customFormat="1" ht="30" customHeight="1">
      <c r="A176" s="8"/>
    </row>
    <row r="177" spans="1:1" s="6" customFormat="1" ht="30" customHeight="1">
      <c r="A177" s="8"/>
    </row>
    <row r="178" spans="1:1" s="6" customFormat="1" ht="30" customHeight="1">
      <c r="A178" s="8"/>
    </row>
    <row r="179" spans="1:1" s="6" customFormat="1" ht="30" customHeight="1">
      <c r="A179" s="8"/>
    </row>
    <row r="180" spans="1:1" s="6" customFormat="1" ht="30" customHeight="1">
      <c r="A180" s="8"/>
    </row>
    <row r="181" spans="1:1" s="6" customFormat="1" ht="30" customHeight="1">
      <c r="A181" s="8"/>
    </row>
    <row r="182" spans="1:1" s="6" customFormat="1" ht="30" customHeight="1">
      <c r="A182" s="8"/>
    </row>
    <row r="183" spans="1:1" s="6" customFormat="1" ht="30" customHeight="1">
      <c r="A183" s="8"/>
    </row>
    <row r="184" spans="1:1" s="6" customFormat="1" ht="30" customHeight="1">
      <c r="A184" s="8"/>
    </row>
    <row r="185" spans="1:1" s="6" customFormat="1" ht="30" customHeight="1">
      <c r="A185" s="8"/>
    </row>
    <row r="186" spans="1:1" s="6" customFormat="1" ht="30" customHeight="1">
      <c r="A186" s="8"/>
    </row>
    <row r="187" spans="1:1" s="6" customFormat="1" ht="30" customHeight="1">
      <c r="A187" s="8"/>
    </row>
    <row r="188" spans="1:1" s="6" customFormat="1" ht="30" customHeight="1">
      <c r="A188" s="8"/>
    </row>
    <row r="189" spans="1:1" s="6" customFormat="1" ht="30" customHeight="1">
      <c r="A189" s="8"/>
    </row>
    <row r="190" spans="1:1" s="6" customFormat="1" ht="30" customHeight="1">
      <c r="A190" s="8"/>
    </row>
    <row r="191" spans="1:1" s="6" customFormat="1" ht="30" customHeight="1">
      <c r="A191" s="8"/>
    </row>
    <row r="192" spans="1:1" s="6" customFormat="1" ht="30" customHeight="1">
      <c r="A192" s="8"/>
    </row>
    <row r="193" spans="1:1" s="6" customFormat="1" ht="30" customHeight="1">
      <c r="A193" s="8"/>
    </row>
    <row r="194" spans="1:1" s="6" customFormat="1" ht="30" customHeight="1">
      <c r="A194" s="8"/>
    </row>
    <row r="195" spans="1:1" s="6" customFormat="1" ht="30" customHeight="1">
      <c r="A195" s="8"/>
    </row>
    <row r="196" spans="1:1" s="6" customFormat="1" ht="30" customHeight="1">
      <c r="A196" s="8"/>
    </row>
    <row r="197" spans="1:1" s="6" customFormat="1" ht="30" customHeight="1">
      <c r="A197" s="8"/>
    </row>
    <row r="198" spans="1:1" s="6" customFormat="1" ht="30" customHeight="1">
      <c r="A198" s="8"/>
    </row>
    <row r="199" spans="1:1" s="6" customFormat="1" ht="30" customHeight="1">
      <c r="A199" s="8"/>
    </row>
    <row r="200" spans="1:1" s="6" customFormat="1" ht="30" customHeight="1">
      <c r="A200" s="8"/>
    </row>
    <row r="201" spans="1:1" s="6" customFormat="1" ht="30" customHeight="1">
      <c r="A201" s="8"/>
    </row>
    <row r="202" spans="1:1" s="6" customFormat="1" ht="30" customHeight="1">
      <c r="A202" s="8"/>
    </row>
    <row r="203" spans="1:1" s="6" customFormat="1" ht="30" customHeight="1">
      <c r="A203" s="8"/>
    </row>
    <row r="204" spans="1:1" s="6" customFormat="1" ht="30" customHeight="1">
      <c r="A204" s="8"/>
    </row>
    <row r="205" spans="1:1" s="6" customFormat="1" ht="30" customHeight="1">
      <c r="A205" s="8"/>
    </row>
    <row r="206" spans="1:1" s="6" customFormat="1" ht="30" customHeight="1">
      <c r="A206" s="8"/>
    </row>
    <row r="207" spans="1:1" s="6" customFormat="1" ht="30" customHeight="1">
      <c r="A207" s="8"/>
    </row>
    <row r="208" spans="1:1" s="6" customFormat="1" ht="30" customHeight="1">
      <c r="A208" s="8"/>
    </row>
    <row r="209" spans="1:1" s="6" customFormat="1" ht="30" customHeight="1">
      <c r="A209" s="8"/>
    </row>
    <row r="210" spans="1:1" s="6" customFormat="1" ht="30" customHeight="1">
      <c r="A210" s="8"/>
    </row>
    <row r="211" spans="1:1" s="6" customFormat="1" ht="30" customHeight="1">
      <c r="A211" s="8"/>
    </row>
    <row r="212" spans="1:1" s="6" customFormat="1" ht="30" customHeight="1">
      <c r="A212" s="8"/>
    </row>
    <row r="213" spans="1:1" s="6" customFormat="1" ht="30" customHeight="1">
      <c r="A213" s="8"/>
    </row>
    <row r="214" spans="1:1" s="6" customFormat="1" ht="30" customHeight="1">
      <c r="A214" s="8"/>
    </row>
    <row r="215" spans="1:1" s="6" customFormat="1" ht="30" customHeight="1">
      <c r="A215" s="8"/>
    </row>
    <row r="216" spans="1:1" s="6" customFormat="1" ht="30" customHeight="1">
      <c r="A216" s="8"/>
    </row>
    <row r="217" spans="1:1" s="6" customFormat="1" ht="30" customHeight="1">
      <c r="A217" s="8"/>
    </row>
    <row r="218" spans="1:1" s="6" customFormat="1">
      <c r="A218" s="8"/>
    </row>
    <row r="219" spans="1:1" s="6" customFormat="1">
      <c r="A219" s="8"/>
    </row>
    <row r="220" spans="1:1" s="6" customFormat="1">
      <c r="A220" s="8"/>
    </row>
    <row r="221" spans="1:1" s="6" customFormat="1">
      <c r="A221" s="8"/>
    </row>
    <row r="222" spans="1:1" s="6" customFormat="1">
      <c r="A222" s="8"/>
    </row>
    <row r="223" spans="1:1" s="6" customFormat="1">
      <c r="A223" s="8"/>
    </row>
    <row r="224" spans="1:1" s="6" customFormat="1">
      <c r="A224" s="8"/>
    </row>
    <row r="225" spans="1:1" s="6" customFormat="1">
      <c r="A225" s="8"/>
    </row>
    <row r="226" spans="1:1" s="6" customFormat="1">
      <c r="A226" s="8"/>
    </row>
    <row r="227" spans="1:1" s="6" customFormat="1">
      <c r="A227" s="8"/>
    </row>
    <row r="228" spans="1:1" s="6" customFormat="1">
      <c r="A228" s="8"/>
    </row>
    <row r="229" spans="1:1" s="6" customFormat="1">
      <c r="A229" s="8"/>
    </row>
    <row r="230" spans="1:1" s="6" customFormat="1">
      <c r="A230" s="8"/>
    </row>
    <row r="231" spans="1:1" s="6" customFormat="1">
      <c r="A231" s="8"/>
    </row>
    <row r="232" spans="1:1" s="6" customFormat="1">
      <c r="A232" s="8"/>
    </row>
    <row r="233" spans="1:1" s="6" customFormat="1">
      <c r="A233" s="8"/>
    </row>
    <row r="234" spans="1:1" s="6" customFormat="1">
      <c r="A234" s="8"/>
    </row>
    <row r="235" spans="1:1" s="6" customFormat="1">
      <c r="A235" s="8"/>
    </row>
    <row r="236" spans="1:1" s="6" customFormat="1">
      <c r="A236" s="8"/>
    </row>
    <row r="237" spans="1:1" s="6" customFormat="1">
      <c r="A237" s="8"/>
    </row>
    <row r="238" spans="1:1" s="6" customFormat="1">
      <c r="A238" s="8"/>
    </row>
    <row r="239" spans="1:1" s="6" customFormat="1">
      <c r="A239" s="8"/>
    </row>
    <row r="240" spans="1:1" s="6" customFormat="1">
      <c r="A240" s="8"/>
    </row>
    <row r="241" spans="1:1" s="6" customFormat="1">
      <c r="A241" s="8"/>
    </row>
    <row r="242" spans="1:1" s="6" customFormat="1">
      <c r="A242" s="8"/>
    </row>
    <row r="243" spans="1:1" s="6" customFormat="1">
      <c r="A243" s="8"/>
    </row>
    <row r="244" spans="1:1" s="6" customFormat="1">
      <c r="A244" s="8"/>
    </row>
    <row r="245" spans="1:1" s="6" customFormat="1">
      <c r="A245" s="8"/>
    </row>
    <row r="246" spans="1:1" s="6" customFormat="1">
      <c r="A246" s="8"/>
    </row>
    <row r="247" spans="1:1" s="6" customFormat="1">
      <c r="A247" s="8"/>
    </row>
    <row r="248" spans="1:1" s="6" customFormat="1">
      <c r="A248" s="8"/>
    </row>
    <row r="249" spans="1:1" s="6" customFormat="1">
      <c r="A249" s="8"/>
    </row>
    <row r="250" spans="1:1" s="6" customFormat="1">
      <c r="A250" s="8"/>
    </row>
    <row r="251" spans="1:1" s="6" customFormat="1">
      <c r="A251" s="8"/>
    </row>
    <row r="252" spans="1:1" s="6" customFormat="1">
      <c r="A252" s="8"/>
    </row>
    <row r="253" spans="1:1" s="6" customFormat="1">
      <c r="A253" s="8"/>
    </row>
    <row r="254" spans="1:1" s="6" customFormat="1">
      <c r="A254" s="8"/>
    </row>
    <row r="255" spans="1:1" s="6" customFormat="1">
      <c r="A255" s="8"/>
    </row>
    <row r="256" spans="1:1" s="6" customFormat="1">
      <c r="A256" s="8"/>
    </row>
    <row r="257" spans="1:1" s="6" customFormat="1">
      <c r="A257" s="8"/>
    </row>
    <row r="258" spans="1:1" s="6" customFormat="1">
      <c r="A258" s="8"/>
    </row>
    <row r="259" spans="1:1" s="6" customFormat="1">
      <c r="A259" s="8"/>
    </row>
    <row r="260" spans="1:1" s="6" customFormat="1">
      <c r="A260" s="8"/>
    </row>
    <row r="261" spans="1:1" s="6" customFormat="1">
      <c r="A261" s="8"/>
    </row>
    <row r="262" spans="1:1" s="6" customFormat="1">
      <c r="A262" s="8"/>
    </row>
    <row r="263" spans="1:1" s="6" customFormat="1">
      <c r="A263" s="8"/>
    </row>
    <row r="264" spans="1:1" s="6" customFormat="1">
      <c r="A264" s="8"/>
    </row>
    <row r="265" spans="1:1" s="6" customFormat="1">
      <c r="A265" s="8"/>
    </row>
    <row r="266" spans="1:1" s="6" customFormat="1">
      <c r="A266" s="8"/>
    </row>
    <row r="267" spans="1:1" s="6" customFormat="1">
      <c r="A267" s="8"/>
    </row>
    <row r="268" spans="1:1" s="6" customFormat="1">
      <c r="A268" s="8"/>
    </row>
    <row r="269" spans="1:1" s="6" customFormat="1">
      <c r="A269" s="8"/>
    </row>
    <row r="270" spans="1:1" s="6" customFormat="1">
      <c r="A270" s="8"/>
    </row>
    <row r="271" spans="1:1" s="6" customFormat="1">
      <c r="A271" s="8"/>
    </row>
    <row r="272" spans="1:1" s="6" customFormat="1">
      <c r="A272" s="8"/>
    </row>
    <row r="273" spans="1:1" s="6" customFormat="1">
      <c r="A273" s="8"/>
    </row>
    <row r="274" spans="1:1" s="6" customFormat="1">
      <c r="A274" s="8"/>
    </row>
    <row r="275" spans="1:1" s="6" customFormat="1">
      <c r="A275" s="8"/>
    </row>
    <row r="276" spans="1:1" s="6" customFormat="1">
      <c r="A276" s="8"/>
    </row>
    <row r="277" spans="1:1" s="6" customFormat="1">
      <c r="A277" s="8"/>
    </row>
    <row r="278" spans="1:1" s="6" customFormat="1">
      <c r="A278" s="8"/>
    </row>
    <row r="279" spans="1:1" s="6" customFormat="1">
      <c r="A279" s="8"/>
    </row>
    <row r="280" spans="1:1" s="6" customFormat="1">
      <c r="A280" s="8"/>
    </row>
    <row r="281" spans="1:1" s="6" customFormat="1">
      <c r="A281" s="8"/>
    </row>
    <row r="282" spans="1:1" s="6" customFormat="1">
      <c r="A282" s="8"/>
    </row>
    <row r="283" spans="1:1" s="6" customFormat="1">
      <c r="A283" s="8"/>
    </row>
    <row r="284" spans="1:1" s="6" customFormat="1">
      <c r="A284" s="8"/>
    </row>
    <row r="285" spans="1:1" s="6" customFormat="1">
      <c r="A285" s="8"/>
    </row>
    <row r="286" spans="1:1" s="6" customFormat="1">
      <c r="A286" s="8"/>
    </row>
    <row r="287" spans="1:1" s="6" customFormat="1">
      <c r="A287" s="8"/>
    </row>
    <row r="288" spans="1:1" s="6" customFormat="1">
      <c r="A288" s="8"/>
    </row>
    <row r="289" spans="1:1" s="6" customFormat="1">
      <c r="A289" s="8"/>
    </row>
    <row r="290" spans="1:1" s="6" customFormat="1">
      <c r="A290" s="8"/>
    </row>
    <row r="291" spans="1:1" s="6" customFormat="1">
      <c r="A291" s="8"/>
    </row>
    <row r="292" spans="1:1" s="6" customFormat="1">
      <c r="A292" s="8"/>
    </row>
    <row r="293" spans="1:1" s="6" customFormat="1">
      <c r="A293" s="8"/>
    </row>
    <row r="294" spans="1:1" s="6" customFormat="1">
      <c r="A294" s="8"/>
    </row>
    <row r="295" spans="1:1" s="6" customFormat="1">
      <c r="A295" s="8"/>
    </row>
    <row r="296" spans="1:1" s="6" customFormat="1">
      <c r="A296" s="8"/>
    </row>
    <row r="297" spans="1:1" s="6" customFormat="1">
      <c r="A297" s="8"/>
    </row>
    <row r="298" spans="1:1" s="6" customFormat="1">
      <c r="A298" s="8"/>
    </row>
    <row r="299" spans="1:1" s="6" customFormat="1">
      <c r="A299" s="8"/>
    </row>
    <row r="300" spans="1:1" s="6" customFormat="1">
      <c r="A300" s="8"/>
    </row>
    <row r="301" spans="1:1" s="6" customFormat="1">
      <c r="A301" s="8"/>
    </row>
    <row r="302" spans="1:1" s="6" customFormat="1">
      <c r="A302" s="8"/>
    </row>
    <row r="303" spans="1:1" s="6" customFormat="1">
      <c r="A303" s="8"/>
    </row>
    <row r="304" spans="1:1" s="6" customFormat="1">
      <c r="A304" s="8"/>
    </row>
    <row r="305" spans="1:1" s="6" customFormat="1">
      <c r="A305" s="8"/>
    </row>
    <row r="306" spans="1:1" s="6" customFormat="1">
      <c r="A306" s="8"/>
    </row>
    <row r="307" spans="1:1" s="6" customFormat="1">
      <c r="A307" s="8"/>
    </row>
    <row r="308" spans="1:1" s="6" customFormat="1">
      <c r="A308" s="8"/>
    </row>
    <row r="309" spans="1:1" s="6" customFormat="1">
      <c r="A309" s="8"/>
    </row>
    <row r="310" spans="1:1" s="6" customFormat="1">
      <c r="A310" s="8"/>
    </row>
    <row r="311" spans="1:1" s="6" customFormat="1">
      <c r="A311" s="8"/>
    </row>
    <row r="312" spans="1:1" s="6" customFormat="1">
      <c r="A312" s="8"/>
    </row>
    <row r="313" spans="1:1" s="6" customFormat="1">
      <c r="A313" s="8"/>
    </row>
    <row r="314" spans="1:1" s="6" customFormat="1">
      <c r="A314" s="8"/>
    </row>
    <row r="315" spans="1:1" s="6" customFormat="1">
      <c r="A315" s="8"/>
    </row>
    <row r="316" spans="1:1" s="6" customFormat="1">
      <c r="A316" s="8"/>
    </row>
    <row r="317" spans="1:1" s="6" customFormat="1">
      <c r="A317" s="8"/>
    </row>
    <row r="318" spans="1:1" s="6" customFormat="1">
      <c r="A318" s="8"/>
    </row>
    <row r="319" spans="1:1" s="6" customFormat="1">
      <c r="A319" s="8"/>
    </row>
    <row r="320" spans="1:1" s="6" customFormat="1">
      <c r="A320" s="8"/>
    </row>
    <row r="321" spans="1:1" s="6" customFormat="1">
      <c r="A321" s="8"/>
    </row>
    <row r="322" spans="1:1" s="6" customFormat="1">
      <c r="A322" s="8"/>
    </row>
    <row r="323" spans="1:1" s="6" customFormat="1">
      <c r="A323" s="8"/>
    </row>
    <row r="324" spans="1:1" s="6" customFormat="1">
      <c r="A324" s="8"/>
    </row>
    <row r="325" spans="1:1" s="6" customFormat="1">
      <c r="A325" s="8"/>
    </row>
    <row r="326" spans="1:1" s="6" customFormat="1">
      <c r="A326" s="8"/>
    </row>
    <row r="327" spans="1:1" s="6" customFormat="1">
      <c r="A327" s="8"/>
    </row>
    <row r="328" spans="1:1" s="6" customFormat="1">
      <c r="A328" s="8"/>
    </row>
    <row r="329" spans="1:1" s="6" customFormat="1">
      <c r="A329" s="8"/>
    </row>
    <row r="330" spans="1:1" s="6" customFormat="1">
      <c r="A330" s="8"/>
    </row>
    <row r="331" spans="1:1" s="6" customFormat="1">
      <c r="A331" s="8"/>
    </row>
    <row r="332" spans="1:1" s="6" customFormat="1">
      <c r="A332" s="8"/>
    </row>
    <row r="333" spans="1:1" s="6" customFormat="1">
      <c r="A333" s="8"/>
    </row>
    <row r="334" spans="1:1" s="6" customFormat="1">
      <c r="A334" s="8"/>
    </row>
    <row r="335" spans="1:1" s="6" customFormat="1">
      <c r="A335" s="8"/>
    </row>
    <row r="336" spans="1:1" s="6" customFormat="1">
      <c r="A336" s="8"/>
    </row>
    <row r="337" spans="1:1" s="6" customFormat="1">
      <c r="A337" s="8"/>
    </row>
    <row r="338" spans="1:1" s="6" customFormat="1">
      <c r="A338" s="8"/>
    </row>
    <row r="339" spans="1:1" s="6" customFormat="1">
      <c r="A339" s="8"/>
    </row>
    <row r="340" spans="1:1" s="6" customFormat="1">
      <c r="A340" s="8"/>
    </row>
    <row r="341" spans="1:1" s="6" customFormat="1">
      <c r="A341" s="8"/>
    </row>
    <row r="342" spans="1:1" s="6" customFormat="1">
      <c r="A342" s="8"/>
    </row>
    <row r="343" spans="1:1" s="6" customFormat="1">
      <c r="A343" s="8"/>
    </row>
    <row r="344" spans="1:1" s="6" customFormat="1">
      <c r="A344" s="8"/>
    </row>
    <row r="345" spans="1:1" s="6" customFormat="1">
      <c r="A345" s="8"/>
    </row>
    <row r="346" spans="1:1" s="6" customFormat="1">
      <c r="A346" s="8"/>
    </row>
    <row r="347" spans="1:1" s="6" customFormat="1">
      <c r="A347" s="8"/>
    </row>
    <row r="348" spans="1:1" s="6" customFormat="1">
      <c r="A348" s="8"/>
    </row>
    <row r="349" spans="1:1" s="6" customFormat="1">
      <c r="A349" s="8"/>
    </row>
    <row r="350" spans="1:1" s="6" customFormat="1">
      <c r="A350" s="8"/>
    </row>
    <row r="351" spans="1:1" s="6" customFormat="1">
      <c r="A351" s="8"/>
    </row>
    <row r="352" spans="1:1" s="6" customFormat="1">
      <c r="A352" s="8"/>
    </row>
    <row r="353" spans="1:1" s="6" customFormat="1">
      <c r="A353" s="8"/>
    </row>
    <row r="354" spans="1:1" s="6" customFormat="1">
      <c r="A354" s="8"/>
    </row>
    <row r="355" spans="1:1" s="6" customFormat="1">
      <c r="A355" s="8"/>
    </row>
    <row r="356" spans="1:1" s="6" customFormat="1">
      <c r="A356" s="8"/>
    </row>
    <row r="357" spans="1:1" s="6" customFormat="1">
      <c r="A357" s="8"/>
    </row>
    <row r="358" spans="1:1" s="6" customFormat="1">
      <c r="A358" s="8"/>
    </row>
    <row r="359" spans="1:1" s="6" customFormat="1">
      <c r="A359" s="8"/>
    </row>
    <row r="360" spans="1:1" s="6" customFormat="1">
      <c r="A360" s="8"/>
    </row>
    <row r="361" spans="1:1" s="6" customFormat="1">
      <c r="A361" s="8"/>
    </row>
    <row r="362" spans="1:1" s="6" customFormat="1">
      <c r="A362" s="8"/>
    </row>
    <row r="363" spans="1:1" s="6" customFormat="1">
      <c r="A363" s="8"/>
    </row>
    <row r="364" spans="1:1" s="6" customFormat="1">
      <c r="A364" s="8"/>
    </row>
    <row r="365" spans="1:1" s="6" customFormat="1">
      <c r="A365" s="8"/>
    </row>
    <row r="366" spans="1:1" s="6" customFormat="1">
      <c r="A366" s="8"/>
    </row>
    <row r="367" spans="1:1" s="6" customFormat="1">
      <c r="A367" s="8"/>
    </row>
    <row r="368" spans="1:1" s="6" customFormat="1">
      <c r="A368" s="8"/>
    </row>
    <row r="369" spans="1:1" s="6" customFormat="1">
      <c r="A369" s="8"/>
    </row>
    <row r="370" spans="1:1" s="6" customFormat="1">
      <c r="A370" s="8"/>
    </row>
    <row r="371" spans="1:1" s="6" customFormat="1">
      <c r="A371" s="8"/>
    </row>
    <row r="372" spans="1:1" s="6" customFormat="1">
      <c r="A372" s="8"/>
    </row>
    <row r="373" spans="1:1" s="6" customFormat="1">
      <c r="A373" s="8"/>
    </row>
    <row r="374" spans="1:1" s="6" customFormat="1">
      <c r="A374" s="8"/>
    </row>
    <row r="375" spans="1:1" s="6" customFormat="1">
      <c r="A375" s="8"/>
    </row>
    <row r="376" spans="1:1" s="6" customFormat="1">
      <c r="A376" s="8"/>
    </row>
    <row r="377" spans="1:1" s="6" customFormat="1">
      <c r="A377" s="8"/>
    </row>
    <row r="378" spans="1:1" s="6" customFormat="1">
      <c r="A378" s="8"/>
    </row>
    <row r="379" spans="1:1" s="6" customFormat="1">
      <c r="A379" s="8"/>
    </row>
    <row r="380" spans="1:1" s="6" customFormat="1">
      <c r="A380" s="8"/>
    </row>
    <row r="381" spans="1:1" s="6" customFormat="1">
      <c r="A381" s="8"/>
    </row>
    <row r="382" spans="1:1" s="6" customFormat="1">
      <c r="A382" s="8"/>
    </row>
    <row r="383" spans="1:1" s="6" customFormat="1">
      <c r="A383" s="8"/>
    </row>
    <row r="384" spans="1:1" s="6" customFormat="1">
      <c r="A384" s="8"/>
    </row>
    <row r="385" spans="1:1" s="6" customFormat="1">
      <c r="A385" s="8"/>
    </row>
    <row r="386" spans="1:1" s="6" customFormat="1">
      <c r="A386" s="8"/>
    </row>
    <row r="387" spans="1:1" s="6" customFormat="1">
      <c r="A387" s="8"/>
    </row>
    <row r="388" spans="1:1" s="6" customFormat="1">
      <c r="A388" s="8"/>
    </row>
    <row r="389" spans="1:1" s="6" customFormat="1">
      <c r="A389" s="8"/>
    </row>
    <row r="390" spans="1:1" s="6" customFormat="1">
      <c r="A390" s="8"/>
    </row>
    <row r="391" spans="1:1" s="6" customFormat="1">
      <c r="A391" s="8"/>
    </row>
    <row r="392" spans="1:1" s="6" customFormat="1">
      <c r="A392" s="8"/>
    </row>
    <row r="393" spans="1:1" s="6" customFormat="1">
      <c r="A393" s="8"/>
    </row>
    <row r="394" spans="1:1" s="6" customFormat="1">
      <c r="A394" s="8"/>
    </row>
    <row r="395" spans="1:1" s="6" customFormat="1">
      <c r="A395" s="8"/>
    </row>
    <row r="396" spans="1:1" s="6" customFormat="1">
      <c r="A396" s="8"/>
    </row>
    <row r="397" spans="1:1" s="6" customFormat="1">
      <c r="A397" s="8"/>
    </row>
    <row r="398" spans="1:1" s="6" customFormat="1">
      <c r="A398" s="8"/>
    </row>
    <row r="399" spans="1:1" s="6" customFormat="1">
      <c r="A399" s="8"/>
    </row>
    <row r="400" spans="1:1" s="6" customFormat="1">
      <c r="A400" s="8"/>
    </row>
    <row r="401" spans="1:1" s="6" customFormat="1">
      <c r="A401" s="8"/>
    </row>
    <row r="402" spans="1:1" s="6" customFormat="1">
      <c r="A402" s="8"/>
    </row>
    <row r="403" spans="1:1" s="6" customFormat="1">
      <c r="A403" s="8"/>
    </row>
    <row r="404" spans="1:1" s="6" customFormat="1">
      <c r="A404" s="8"/>
    </row>
    <row r="405" spans="1:1" s="6" customFormat="1">
      <c r="A405" s="8"/>
    </row>
    <row r="406" spans="1:1" s="6" customFormat="1">
      <c r="A406" s="8"/>
    </row>
    <row r="407" spans="1:1" s="6" customFormat="1">
      <c r="A407" s="8"/>
    </row>
    <row r="408" spans="1:1" s="6" customFormat="1">
      <c r="A408" s="8"/>
    </row>
    <row r="409" spans="1:1" s="6" customFormat="1">
      <c r="A409" s="8"/>
    </row>
    <row r="410" spans="1:1" s="6" customFormat="1">
      <c r="A410" s="8"/>
    </row>
    <row r="411" spans="1:1" s="6" customFormat="1">
      <c r="A411" s="8"/>
    </row>
    <row r="412" spans="1:1" s="6" customFormat="1">
      <c r="A412" s="8"/>
    </row>
    <row r="413" spans="1:1" s="6" customFormat="1">
      <c r="A413" s="8"/>
    </row>
    <row r="414" spans="1:1" s="6" customFormat="1">
      <c r="A414" s="8"/>
    </row>
    <row r="415" spans="1:1" s="6" customFormat="1">
      <c r="A415" s="8"/>
    </row>
    <row r="416" spans="1:1" s="6" customFormat="1">
      <c r="A416" s="8"/>
    </row>
    <row r="417" spans="1:1" s="6" customFormat="1">
      <c r="A417" s="8"/>
    </row>
    <row r="418" spans="1:1" s="6" customFormat="1">
      <c r="A418" s="8"/>
    </row>
    <row r="419" spans="1:1" s="6" customFormat="1">
      <c r="A419" s="8"/>
    </row>
    <row r="420" spans="1:1" s="6" customFormat="1">
      <c r="A420" s="8"/>
    </row>
    <row r="421" spans="1:1" s="6" customFormat="1">
      <c r="A421" s="8"/>
    </row>
    <row r="422" spans="1:1" s="6" customFormat="1">
      <c r="A422" s="8"/>
    </row>
    <row r="423" spans="1:1" s="6" customFormat="1">
      <c r="A423" s="8"/>
    </row>
    <row r="424" spans="1:1" s="6" customFormat="1">
      <c r="A424" s="8"/>
    </row>
    <row r="425" spans="1:1" s="6" customFormat="1">
      <c r="A425" s="8"/>
    </row>
    <row r="426" spans="1:1" s="6" customFormat="1">
      <c r="A426" s="8"/>
    </row>
    <row r="427" spans="1:1" s="6" customFormat="1">
      <c r="A427" s="8"/>
    </row>
    <row r="428" spans="1:1" s="6" customFormat="1">
      <c r="A428" s="8"/>
    </row>
    <row r="429" spans="1:1" s="6" customFormat="1">
      <c r="A429" s="8"/>
    </row>
    <row r="430" spans="1:1" s="6" customFormat="1">
      <c r="A430" s="8"/>
    </row>
    <row r="431" spans="1:1" s="6" customFormat="1">
      <c r="A431" s="8"/>
    </row>
    <row r="432" spans="1:1" s="6" customFormat="1">
      <c r="A432" s="8"/>
    </row>
    <row r="433" spans="1:1" s="6" customFormat="1">
      <c r="A433" s="8"/>
    </row>
    <row r="434" spans="1:1" s="6" customFormat="1">
      <c r="A434" s="8"/>
    </row>
    <row r="435" spans="1:1" s="6" customFormat="1">
      <c r="A435" s="8"/>
    </row>
    <row r="436" spans="1:1" s="6" customFormat="1">
      <c r="A436" s="8"/>
    </row>
    <row r="437" spans="1:1" s="6" customFormat="1">
      <c r="A437" s="8"/>
    </row>
    <row r="438" spans="1:1" s="6" customFormat="1">
      <c r="A438" s="8"/>
    </row>
    <row r="439" spans="1:1" s="6" customFormat="1">
      <c r="A439" s="8"/>
    </row>
    <row r="440" spans="1:1" s="6" customFormat="1">
      <c r="A440" s="8"/>
    </row>
    <row r="441" spans="1:1" s="6" customFormat="1">
      <c r="A441" s="8"/>
    </row>
    <row r="442" spans="1:1" s="6" customFormat="1">
      <c r="A442" s="8"/>
    </row>
    <row r="443" spans="1:1" s="6" customFormat="1">
      <c r="A443" s="8"/>
    </row>
    <row r="444" spans="1:1" s="6" customFormat="1">
      <c r="A444" s="8"/>
    </row>
    <row r="445" spans="1:1" s="6" customFormat="1">
      <c r="A445" s="8"/>
    </row>
    <row r="446" spans="1:1" s="6" customFormat="1">
      <c r="A446" s="8"/>
    </row>
    <row r="447" spans="1:1" s="6" customFormat="1">
      <c r="A447" s="8"/>
    </row>
    <row r="448" spans="1:1" s="6" customFormat="1">
      <c r="A448" s="8"/>
    </row>
    <row r="449" spans="1:1" s="6" customFormat="1">
      <c r="A449" s="8"/>
    </row>
    <row r="450" spans="1:1" s="6" customFormat="1">
      <c r="A450" s="8"/>
    </row>
    <row r="451" spans="1:1" s="6" customFormat="1">
      <c r="A451" s="8"/>
    </row>
    <row r="452" spans="1:1" s="6" customFormat="1">
      <c r="A452" s="8"/>
    </row>
    <row r="453" spans="1:1" s="6" customFormat="1">
      <c r="A453" s="8"/>
    </row>
    <row r="454" spans="1:1" s="6" customFormat="1">
      <c r="A454" s="8"/>
    </row>
    <row r="455" spans="1:1" s="6" customFormat="1">
      <c r="A455" s="8"/>
    </row>
    <row r="456" spans="1:1" s="6" customFormat="1">
      <c r="A456" s="8"/>
    </row>
    <row r="457" spans="1:1" s="6" customFormat="1">
      <c r="A457" s="8"/>
    </row>
    <row r="458" spans="1:1" s="6" customFormat="1">
      <c r="A458" s="8"/>
    </row>
    <row r="459" spans="1:1" s="6" customFormat="1">
      <c r="A459" s="8"/>
    </row>
    <row r="460" spans="1:1" s="6" customFormat="1">
      <c r="A460" s="8"/>
    </row>
    <row r="461" spans="1:1" s="6" customFormat="1">
      <c r="A461" s="8"/>
    </row>
    <row r="462" spans="1:1" s="6" customFormat="1">
      <c r="A462" s="8"/>
    </row>
    <row r="463" spans="1:1" s="6" customFormat="1">
      <c r="A463" s="8"/>
    </row>
    <row r="464" spans="1:1" s="6" customFormat="1">
      <c r="A464" s="8"/>
    </row>
    <row r="465" spans="1:1" s="6" customFormat="1">
      <c r="A465" s="8"/>
    </row>
    <row r="466" spans="1:1" s="6" customFormat="1">
      <c r="A466" s="8"/>
    </row>
    <row r="467" spans="1:1" s="6" customFormat="1">
      <c r="A467" s="8"/>
    </row>
    <row r="468" spans="1:1" s="6" customFormat="1">
      <c r="A468" s="8"/>
    </row>
    <row r="469" spans="1:1" s="6" customFormat="1">
      <c r="A469" s="8"/>
    </row>
    <row r="470" spans="1:1" s="6" customFormat="1">
      <c r="A470" s="8"/>
    </row>
    <row r="471" spans="1:1" s="6" customFormat="1">
      <c r="A471" s="8"/>
    </row>
    <row r="472" spans="1:1" s="6" customFormat="1">
      <c r="A472" s="8"/>
    </row>
    <row r="473" spans="1:1" s="6" customFormat="1">
      <c r="A473" s="8"/>
    </row>
    <row r="474" spans="1:1" s="6" customFormat="1">
      <c r="A474" s="8"/>
    </row>
    <row r="475" spans="1:1" s="6" customFormat="1">
      <c r="A475" s="8"/>
    </row>
    <row r="476" spans="1:1" s="6" customFormat="1">
      <c r="A476" s="8"/>
    </row>
    <row r="477" spans="1:1" s="6" customFormat="1">
      <c r="A477" s="8"/>
    </row>
    <row r="478" spans="1:1" s="6" customFormat="1">
      <c r="A478" s="8"/>
    </row>
    <row r="479" spans="1:1" s="6" customFormat="1">
      <c r="A479" s="8"/>
    </row>
    <row r="480" spans="1:1" s="6" customFormat="1">
      <c r="A480" s="8"/>
    </row>
    <row r="481" spans="1:1" s="6" customFormat="1">
      <c r="A481" s="8"/>
    </row>
    <row r="482" spans="1:1" s="6" customFormat="1">
      <c r="A482" s="8"/>
    </row>
    <row r="483" spans="1:1" s="6" customFormat="1">
      <c r="A483" s="8"/>
    </row>
    <row r="484" spans="1:1" s="6" customFormat="1">
      <c r="A484" s="8"/>
    </row>
    <row r="485" spans="1:1" s="6" customFormat="1">
      <c r="A485" s="8"/>
    </row>
    <row r="486" spans="1:1" s="6" customFormat="1">
      <c r="A486" s="8"/>
    </row>
    <row r="487" spans="1:1" s="6" customFormat="1">
      <c r="A487" s="8"/>
    </row>
    <row r="488" spans="1:1" s="6" customFormat="1">
      <c r="A488" s="8"/>
    </row>
    <row r="489" spans="1:1" s="6" customFormat="1">
      <c r="A489" s="8"/>
    </row>
    <row r="490" spans="1:1" s="6" customFormat="1">
      <c r="A490" s="8"/>
    </row>
    <row r="491" spans="1:1" s="6" customFormat="1">
      <c r="A491" s="8"/>
    </row>
    <row r="492" spans="1:1" s="6" customFormat="1">
      <c r="A492" s="8"/>
    </row>
    <row r="493" spans="1:1" s="6" customFormat="1">
      <c r="A493" s="8"/>
    </row>
    <row r="494" spans="1:1" s="6" customFormat="1">
      <c r="A494" s="8"/>
    </row>
    <row r="495" spans="1:1" s="6" customFormat="1">
      <c r="A495" s="8"/>
    </row>
    <row r="496" spans="1:1" s="6" customFormat="1">
      <c r="A496" s="8"/>
    </row>
    <row r="497" spans="1:1" s="6" customFormat="1">
      <c r="A497" s="8"/>
    </row>
    <row r="498" spans="1:1" s="6" customFormat="1">
      <c r="A498" s="8"/>
    </row>
    <row r="499" spans="1:1" s="6" customFormat="1">
      <c r="A499" s="8"/>
    </row>
    <row r="500" spans="1:1" s="6" customFormat="1">
      <c r="A500" s="8"/>
    </row>
    <row r="501" spans="1:1" s="6" customFormat="1">
      <c r="A501" s="8"/>
    </row>
    <row r="502" spans="1:1" s="6" customFormat="1">
      <c r="A502" s="8"/>
    </row>
    <row r="503" spans="1:1" s="6" customFormat="1">
      <c r="A503" s="8"/>
    </row>
    <row r="504" spans="1:1" s="6" customFormat="1">
      <c r="A504" s="8"/>
    </row>
    <row r="505" spans="1:1" s="6" customFormat="1">
      <c r="A505" s="8"/>
    </row>
    <row r="506" spans="1:1" s="6" customFormat="1">
      <c r="A506" s="8"/>
    </row>
    <row r="507" spans="1:1" s="6" customFormat="1">
      <c r="A507" s="8"/>
    </row>
    <row r="508" spans="1:1" s="6" customFormat="1">
      <c r="A508" s="8"/>
    </row>
    <row r="509" spans="1:1" s="6" customFormat="1">
      <c r="A509" s="8"/>
    </row>
    <row r="510" spans="1:1" s="6" customFormat="1">
      <c r="A510" s="8"/>
    </row>
    <row r="511" spans="1:1" s="6" customFormat="1">
      <c r="A511" s="8"/>
    </row>
    <row r="512" spans="1:1" s="6" customFormat="1">
      <c r="A512" s="8"/>
    </row>
    <row r="513" spans="1:1" s="6" customFormat="1">
      <c r="A513" s="8"/>
    </row>
    <row r="514" spans="1:1" s="6" customFormat="1">
      <c r="A514" s="8"/>
    </row>
    <row r="515" spans="1:1" s="6" customFormat="1">
      <c r="A515" s="8"/>
    </row>
    <row r="516" spans="1:1" s="6" customFormat="1">
      <c r="A516" s="8"/>
    </row>
    <row r="517" spans="1:1" s="6" customFormat="1">
      <c r="A517" s="8"/>
    </row>
    <row r="518" spans="1:1" s="6" customFormat="1">
      <c r="A518" s="8"/>
    </row>
    <row r="519" spans="1:1" s="6" customFormat="1">
      <c r="A519" s="8"/>
    </row>
    <row r="520" spans="1:1" s="6" customFormat="1">
      <c r="A520" s="8"/>
    </row>
    <row r="521" spans="1:1" s="6" customFormat="1">
      <c r="A521" s="8"/>
    </row>
    <row r="522" spans="1:1" s="6" customFormat="1">
      <c r="A522" s="8"/>
    </row>
    <row r="523" spans="1:1" s="6" customFormat="1">
      <c r="A523" s="8"/>
    </row>
    <row r="524" spans="1:1" s="6" customFormat="1">
      <c r="A524" s="8"/>
    </row>
    <row r="525" spans="1:1" s="6" customFormat="1">
      <c r="A525" s="8"/>
    </row>
    <row r="526" spans="1:1" s="6" customFormat="1">
      <c r="A526" s="8"/>
    </row>
    <row r="527" spans="1:1" s="6" customFormat="1">
      <c r="A527" s="8"/>
    </row>
    <row r="528" spans="1:1" s="6" customFormat="1">
      <c r="A528" s="8"/>
    </row>
    <row r="529" spans="1:1" s="6" customFormat="1">
      <c r="A529" s="8"/>
    </row>
    <row r="530" spans="1:1" s="6" customFormat="1">
      <c r="A530" s="8"/>
    </row>
    <row r="531" spans="1:1" s="6" customFormat="1">
      <c r="A531" s="8"/>
    </row>
    <row r="532" spans="1:1" s="6" customFormat="1">
      <c r="A532" s="8"/>
    </row>
    <row r="533" spans="1:1" s="6" customFormat="1">
      <c r="A533" s="8"/>
    </row>
    <row r="534" spans="1:1" s="6" customFormat="1">
      <c r="A534" s="8"/>
    </row>
    <row r="535" spans="1:1" s="6" customFormat="1">
      <c r="A535" s="8"/>
    </row>
    <row r="536" spans="1:1" s="6" customFormat="1">
      <c r="A536" s="8"/>
    </row>
    <row r="537" spans="1:1" s="6" customFormat="1">
      <c r="A537" s="8"/>
    </row>
    <row r="538" spans="1:1" s="6" customFormat="1">
      <c r="A538" s="8"/>
    </row>
    <row r="539" spans="1:1" s="6" customFormat="1">
      <c r="A539" s="8"/>
    </row>
    <row r="540" spans="1:1" s="6" customFormat="1">
      <c r="A540" s="8"/>
    </row>
    <row r="541" spans="1:1" s="6" customFormat="1">
      <c r="A541" s="8"/>
    </row>
    <row r="542" spans="1:1" s="6" customFormat="1">
      <c r="A542" s="8"/>
    </row>
    <row r="543" spans="1:1" s="6" customFormat="1">
      <c r="A543" s="8"/>
    </row>
    <row r="544" spans="1:1" s="6" customFormat="1">
      <c r="A544" s="8"/>
    </row>
    <row r="545" spans="1:1" s="6" customFormat="1">
      <c r="A545" s="8"/>
    </row>
    <row r="546" spans="1:1" s="6" customFormat="1">
      <c r="A546" s="8"/>
    </row>
    <row r="547" spans="1:1" s="6" customFormat="1">
      <c r="A547" s="8"/>
    </row>
    <row r="548" spans="1:1" s="6" customFormat="1">
      <c r="A548" s="8"/>
    </row>
    <row r="549" spans="1:1" s="6" customFormat="1">
      <c r="A549" s="8"/>
    </row>
    <row r="550" spans="1:1" s="6" customFormat="1">
      <c r="A550" s="8"/>
    </row>
    <row r="551" spans="1:1" s="6" customFormat="1">
      <c r="A551" s="8"/>
    </row>
    <row r="552" spans="1:1" s="6" customFormat="1">
      <c r="A552" s="8"/>
    </row>
    <row r="553" spans="1:1" s="6" customFormat="1">
      <c r="A553" s="8"/>
    </row>
    <row r="554" spans="1:1" s="6" customFormat="1">
      <c r="A554" s="8"/>
    </row>
    <row r="555" spans="1:1" s="6" customFormat="1">
      <c r="A555" s="8"/>
    </row>
    <row r="556" spans="1:1" s="6" customFormat="1">
      <c r="A556" s="8"/>
    </row>
    <row r="557" spans="1:1" s="6" customFormat="1">
      <c r="A557" s="8"/>
    </row>
    <row r="558" spans="1:1" s="6" customFormat="1">
      <c r="A558" s="8"/>
    </row>
    <row r="559" spans="1:1" s="6" customFormat="1">
      <c r="A559" s="8"/>
    </row>
    <row r="560" spans="1:1" s="6" customFormat="1">
      <c r="A560" s="8"/>
    </row>
    <row r="561" spans="1:1" s="6" customFormat="1">
      <c r="A561" s="8"/>
    </row>
    <row r="562" spans="1:1" s="6" customFormat="1">
      <c r="A562" s="8"/>
    </row>
    <row r="563" spans="1:1" s="6" customFormat="1">
      <c r="A563" s="8"/>
    </row>
    <row r="564" spans="1:1" s="6" customFormat="1">
      <c r="A564" s="8"/>
    </row>
    <row r="565" spans="1:1" s="6" customFormat="1">
      <c r="A565" s="8"/>
    </row>
    <row r="566" spans="1:1" s="6" customFormat="1">
      <c r="A566" s="8"/>
    </row>
    <row r="567" spans="1:1" s="6" customFormat="1">
      <c r="A567" s="8"/>
    </row>
    <row r="568" spans="1:1" s="6" customFormat="1">
      <c r="A568" s="8"/>
    </row>
    <row r="569" spans="1:1" s="6" customFormat="1">
      <c r="A569" s="8"/>
    </row>
    <row r="570" spans="1:1" s="6" customFormat="1">
      <c r="A570" s="8"/>
    </row>
    <row r="571" spans="1:1" s="6" customFormat="1">
      <c r="A571" s="8"/>
    </row>
    <row r="572" spans="1:1" s="6" customFormat="1">
      <c r="A572" s="8"/>
    </row>
    <row r="573" spans="1:1" s="6" customFormat="1">
      <c r="A573" s="8"/>
    </row>
    <row r="574" spans="1:1" s="6" customFormat="1">
      <c r="A574" s="8"/>
    </row>
    <row r="575" spans="1:1" s="6" customFormat="1">
      <c r="A575" s="8"/>
    </row>
    <row r="576" spans="1:1" s="6" customFormat="1">
      <c r="A576" s="8"/>
    </row>
    <row r="577" spans="1:1" s="6" customFormat="1">
      <c r="A577" s="8"/>
    </row>
    <row r="578" spans="1:1" s="6" customFormat="1">
      <c r="A578" s="8"/>
    </row>
    <row r="579" spans="1:1" s="6" customFormat="1">
      <c r="A579" s="8"/>
    </row>
    <row r="580" spans="1:1" s="6" customFormat="1">
      <c r="A580" s="8"/>
    </row>
    <row r="581" spans="1:1" s="6" customFormat="1">
      <c r="A581" s="8"/>
    </row>
    <row r="582" spans="1:1" s="6" customFormat="1">
      <c r="A582" s="8"/>
    </row>
    <row r="583" spans="1:1" s="6" customFormat="1">
      <c r="A583" s="8"/>
    </row>
    <row r="584" spans="1:1" s="6" customFormat="1">
      <c r="A584" s="8"/>
    </row>
    <row r="585" spans="1:1" s="6" customFormat="1">
      <c r="A585" s="8"/>
    </row>
    <row r="586" spans="1:1" s="6" customFormat="1">
      <c r="A586" s="8"/>
    </row>
    <row r="587" spans="1:1" s="6" customFormat="1">
      <c r="A587" s="8"/>
    </row>
    <row r="588" spans="1:1" s="6" customFormat="1">
      <c r="A588" s="8"/>
    </row>
    <row r="589" spans="1:1" s="6" customFormat="1">
      <c r="A589" s="8"/>
    </row>
    <row r="590" spans="1:1" s="6" customFormat="1">
      <c r="A590" s="8"/>
    </row>
    <row r="591" spans="1:1" s="6" customFormat="1">
      <c r="A591" s="8"/>
    </row>
    <row r="592" spans="1:1" s="6" customFormat="1">
      <c r="A592" s="8"/>
    </row>
    <row r="593" spans="1:1" s="6" customFormat="1">
      <c r="A593" s="8"/>
    </row>
    <row r="594" spans="1:1" s="6" customFormat="1">
      <c r="A594" s="8"/>
    </row>
    <row r="595" spans="1:1" s="6" customFormat="1">
      <c r="A595" s="8"/>
    </row>
    <row r="596" spans="1:1" s="6" customFormat="1">
      <c r="A596" s="8"/>
    </row>
    <row r="597" spans="1:1" s="6" customFormat="1">
      <c r="A597" s="8"/>
    </row>
    <row r="598" spans="1:1" s="6" customFormat="1">
      <c r="A598" s="8"/>
    </row>
    <row r="599" spans="1:1" s="6" customFormat="1">
      <c r="A599" s="8"/>
    </row>
    <row r="600" spans="1:1" s="6" customFormat="1">
      <c r="A600" s="8"/>
    </row>
    <row r="601" spans="1:1" s="6" customFormat="1">
      <c r="A601" s="8"/>
    </row>
    <row r="602" spans="1:1" s="6" customFormat="1">
      <c r="A602" s="8"/>
    </row>
    <row r="603" spans="1:1" s="6" customFormat="1">
      <c r="A603" s="8"/>
    </row>
    <row r="604" spans="1:1" s="6" customFormat="1">
      <c r="A604" s="8"/>
    </row>
    <row r="605" spans="1:1" s="6" customFormat="1">
      <c r="A605" s="8"/>
    </row>
    <row r="606" spans="1:1" s="6" customFormat="1">
      <c r="A606" s="8"/>
    </row>
    <row r="607" spans="1:1" s="6" customFormat="1">
      <c r="A607" s="8"/>
    </row>
    <row r="608" spans="1:1" s="6" customFormat="1">
      <c r="A608" s="8"/>
    </row>
    <row r="609" spans="1:1" s="6" customFormat="1">
      <c r="A609" s="8"/>
    </row>
    <row r="610" spans="1:1" s="6" customFormat="1">
      <c r="A610" s="8"/>
    </row>
    <row r="611" spans="1:1" s="6" customFormat="1">
      <c r="A611" s="8"/>
    </row>
    <row r="612" spans="1:1" s="6" customFormat="1">
      <c r="A612" s="8"/>
    </row>
    <row r="613" spans="1:1" s="6" customFormat="1">
      <c r="A613" s="8"/>
    </row>
    <row r="614" spans="1:1" s="6" customFormat="1">
      <c r="A614" s="8"/>
    </row>
    <row r="615" spans="1:1" s="6" customFormat="1">
      <c r="A615" s="8"/>
    </row>
    <row r="616" spans="1:1" s="6" customFormat="1">
      <c r="A616" s="8"/>
    </row>
    <row r="617" spans="1:1" s="6" customFormat="1">
      <c r="A617" s="8"/>
    </row>
    <row r="618" spans="1:1" s="6" customFormat="1">
      <c r="A618" s="8"/>
    </row>
    <row r="619" spans="1:1" s="6" customFormat="1">
      <c r="A619" s="8"/>
    </row>
    <row r="620" spans="1:1" s="6" customFormat="1">
      <c r="A620" s="8"/>
    </row>
    <row r="621" spans="1:1" s="6" customFormat="1">
      <c r="A621" s="8"/>
    </row>
    <row r="622" spans="1:1" s="6" customFormat="1">
      <c r="A622" s="8"/>
    </row>
    <row r="623" spans="1:1" s="6" customFormat="1">
      <c r="A623" s="8"/>
    </row>
    <row r="624" spans="1:1" s="6" customFormat="1">
      <c r="A624" s="8"/>
    </row>
    <row r="625" spans="1:1" s="6" customFormat="1">
      <c r="A625" s="8"/>
    </row>
    <row r="626" spans="1:1" s="6" customFormat="1">
      <c r="A626" s="8"/>
    </row>
    <row r="627" spans="1:1" s="6" customFormat="1">
      <c r="A627" s="8"/>
    </row>
    <row r="628" spans="1:1" s="6" customFormat="1">
      <c r="A628" s="8"/>
    </row>
    <row r="629" spans="1:1" s="6" customFormat="1">
      <c r="A629" s="8"/>
    </row>
    <row r="630" spans="1:1" s="6" customFormat="1">
      <c r="A630" s="8"/>
    </row>
    <row r="631" spans="1:1" s="6" customFormat="1">
      <c r="A631" s="8"/>
    </row>
    <row r="632" spans="1:1" s="6" customFormat="1">
      <c r="A632" s="8"/>
    </row>
    <row r="633" spans="1:1" s="6" customFormat="1">
      <c r="A633" s="8"/>
    </row>
    <row r="634" spans="1:1" s="6" customFormat="1">
      <c r="A634" s="8"/>
    </row>
    <row r="635" spans="1:1" s="6" customFormat="1">
      <c r="A635" s="8"/>
    </row>
    <row r="636" spans="1:1" s="6" customFormat="1">
      <c r="A636" s="8"/>
    </row>
    <row r="637" spans="1:1" s="6" customFormat="1">
      <c r="A637" s="8"/>
    </row>
    <row r="638" spans="1:1" s="6" customFormat="1">
      <c r="A638" s="8"/>
    </row>
    <row r="639" spans="1:1" s="6" customFormat="1">
      <c r="A639" s="8"/>
    </row>
    <row r="640" spans="1:1" s="6" customFormat="1">
      <c r="A640" s="8"/>
    </row>
    <row r="641" spans="1:1" s="6" customFormat="1">
      <c r="A641" s="8"/>
    </row>
    <row r="642" spans="1:1" s="6" customFormat="1">
      <c r="A642" s="8"/>
    </row>
    <row r="643" spans="1:1" s="6" customFormat="1">
      <c r="A643" s="8"/>
    </row>
    <row r="644" spans="1:1" s="6" customFormat="1">
      <c r="A644" s="8"/>
    </row>
    <row r="645" spans="1:1" s="6" customFormat="1">
      <c r="A645" s="8"/>
    </row>
    <row r="646" spans="1:1" s="6" customFormat="1">
      <c r="A646" s="8"/>
    </row>
    <row r="647" spans="1:1" s="6" customFormat="1">
      <c r="A647" s="8"/>
    </row>
    <row r="648" spans="1:1" s="6" customFormat="1">
      <c r="A648" s="8"/>
    </row>
    <row r="649" spans="1:1" s="6" customFormat="1">
      <c r="A649" s="8"/>
    </row>
    <row r="650" spans="1:1" s="6" customFormat="1">
      <c r="A650" s="8"/>
    </row>
    <row r="651" spans="1:1" s="6" customFormat="1">
      <c r="A651" s="8"/>
    </row>
    <row r="652" spans="1:1" s="6" customFormat="1">
      <c r="A652" s="8"/>
    </row>
    <row r="653" spans="1:1" s="6" customFormat="1">
      <c r="A653" s="8"/>
    </row>
    <row r="654" spans="1:1" s="6" customFormat="1">
      <c r="A654" s="8"/>
    </row>
    <row r="655" spans="1:1" s="6" customFormat="1">
      <c r="A655" s="8"/>
    </row>
    <row r="656" spans="1:1" s="6" customFormat="1">
      <c r="A656" s="8"/>
    </row>
    <row r="657" spans="1:1" s="6" customFormat="1">
      <c r="A657" s="8"/>
    </row>
    <row r="658" spans="1:1" s="6" customFormat="1">
      <c r="A658" s="8"/>
    </row>
    <row r="659" spans="1:1" s="6" customFormat="1">
      <c r="A659" s="8"/>
    </row>
    <row r="660" spans="1:1" s="6" customFormat="1">
      <c r="A660" s="8"/>
    </row>
    <row r="661" spans="1:1" s="6" customFormat="1">
      <c r="A661" s="8"/>
    </row>
    <row r="662" spans="1:1" s="6" customFormat="1">
      <c r="A662" s="8"/>
    </row>
    <row r="663" spans="1:1" s="6" customFormat="1">
      <c r="A663" s="8"/>
    </row>
    <row r="664" spans="1:1" s="6" customFormat="1">
      <c r="A664" s="8"/>
    </row>
    <row r="665" spans="1:1" s="6" customFormat="1">
      <c r="A665" s="8"/>
    </row>
    <row r="666" spans="1:1" s="6" customFormat="1">
      <c r="A666" s="8"/>
    </row>
    <row r="667" spans="1:1" s="6" customFormat="1">
      <c r="A667" s="8"/>
    </row>
    <row r="668" spans="1:1" s="6" customFormat="1">
      <c r="A668" s="8"/>
    </row>
    <row r="669" spans="1:1" s="6" customFormat="1">
      <c r="A669" s="8"/>
    </row>
    <row r="670" spans="1:1" s="6" customFormat="1">
      <c r="A670" s="8"/>
    </row>
    <row r="671" spans="1:1" s="6" customFormat="1">
      <c r="A671" s="8"/>
    </row>
    <row r="672" spans="1:1" s="6" customFormat="1">
      <c r="A672" s="8"/>
    </row>
    <row r="673" spans="1:1" s="6" customFormat="1">
      <c r="A673" s="8"/>
    </row>
    <row r="674" spans="1:1" s="6" customFormat="1">
      <c r="A674" s="8"/>
    </row>
    <row r="675" spans="1:1" s="6" customFormat="1">
      <c r="A675" s="8"/>
    </row>
    <row r="676" spans="1:1" s="6" customFormat="1">
      <c r="A676" s="8"/>
    </row>
    <row r="677" spans="1:1" s="6" customFormat="1">
      <c r="A677" s="8"/>
    </row>
    <row r="678" spans="1:1" s="6" customFormat="1">
      <c r="A678" s="8"/>
    </row>
    <row r="679" spans="1:1" s="6" customFormat="1">
      <c r="A679" s="8"/>
    </row>
    <row r="680" spans="1:1" s="6" customFormat="1">
      <c r="A680" s="8"/>
    </row>
    <row r="681" spans="1:1" s="6" customFormat="1">
      <c r="A681" s="8"/>
    </row>
    <row r="682" spans="1:1" s="6" customFormat="1">
      <c r="A682" s="8"/>
    </row>
    <row r="683" spans="1:1" s="6" customFormat="1">
      <c r="A683" s="8"/>
    </row>
    <row r="684" spans="1:1" s="6" customFormat="1">
      <c r="A684" s="8"/>
    </row>
    <row r="685" spans="1:1" s="6" customFormat="1">
      <c r="A685" s="8"/>
    </row>
    <row r="686" spans="1:1" s="6" customFormat="1">
      <c r="A686" s="8"/>
    </row>
    <row r="687" spans="1:1" s="6" customFormat="1">
      <c r="A687" s="8"/>
    </row>
    <row r="688" spans="1:1" s="6" customFormat="1">
      <c r="A688" s="8"/>
    </row>
    <row r="689" spans="1:1" s="6" customFormat="1">
      <c r="A689" s="8"/>
    </row>
    <row r="690" spans="1:1" s="6" customFormat="1">
      <c r="A690" s="8"/>
    </row>
    <row r="691" spans="1:1" s="6" customFormat="1">
      <c r="A691" s="8"/>
    </row>
    <row r="692" spans="1:1" s="6" customFormat="1">
      <c r="A692" s="8"/>
    </row>
    <row r="693" spans="1:1" s="6" customFormat="1">
      <c r="A693" s="8"/>
    </row>
    <row r="694" spans="1:1" s="6" customFormat="1">
      <c r="A694" s="8"/>
    </row>
    <row r="695" spans="1:1" s="6" customFormat="1">
      <c r="A695" s="8"/>
    </row>
    <row r="696" spans="1:1" s="6" customFormat="1">
      <c r="A696" s="8"/>
    </row>
    <row r="697" spans="1:1" s="6" customFormat="1">
      <c r="A697" s="8"/>
    </row>
    <row r="698" spans="1:1" s="6" customFormat="1">
      <c r="A698" s="8"/>
    </row>
    <row r="699" spans="1:1" s="6" customFormat="1">
      <c r="A699" s="8"/>
    </row>
    <row r="700" spans="1:1" s="6" customFormat="1">
      <c r="A700" s="8"/>
    </row>
    <row r="701" spans="1:1" s="6" customFormat="1">
      <c r="A701" s="8"/>
    </row>
    <row r="702" spans="1:1" s="6" customFormat="1">
      <c r="A702" s="8"/>
    </row>
    <row r="703" spans="1:1" s="6" customFormat="1">
      <c r="A703" s="8"/>
    </row>
    <row r="704" spans="1:1" s="6" customFormat="1">
      <c r="A704" s="8"/>
    </row>
    <row r="705" spans="2:10">
      <c r="B705" s="6"/>
      <c r="C705" s="6"/>
      <c r="D705" s="6"/>
      <c r="E705" s="6"/>
      <c r="G705" s="6"/>
      <c r="H705" s="6"/>
      <c r="I705" s="6"/>
      <c r="J705" s="6"/>
    </row>
    <row r="706" spans="2:10">
      <c r="B706" s="6"/>
      <c r="C706" s="6"/>
      <c r="D706" s="6"/>
      <c r="E706" s="6"/>
    </row>
  </sheetData>
  <sheetProtection algorithmName="SHA-512" hashValue="4aSdCeBjtmXnse9qzMqaqGx3qwClx6hO0BTh6IaMmUoBf4MpZ65bZefmeYVaQrIbnji9phMAlG6ofcgkEWOvGQ==" saltValue="jeXJzp2uNpqmx6g0nfdQ+A==" spinCount="100000" sheet="1" objects="1" scenarios="1" selectLockedCells="1"/>
  <mergeCells count="23">
    <mergeCell ref="B7:C7"/>
    <mergeCell ref="G7:I8"/>
    <mergeCell ref="G9:I10"/>
    <mergeCell ref="G11:I12"/>
    <mergeCell ref="J7:J8"/>
    <mergeCell ref="J9:J10"/>
    <mergeCell ref="J11:J12"/>
    <mergeCell ref="G80:I81"/>
    <mergeCell ref="J80:J81"/>
    <mergeCell ref="B2:G2"/>
    <mergeCell ref="B14:J14"/>
    <mergeCell ref="B79:E79"/>
    <mergeCell ref="J76:J77"/>
    <mergeCell ref="J78:J79"/>
    <mergeCell ref="G76:I77"/>
    <mergeCell ref="G78:I79"/>
    <mergeCell ref="B4:D4"/>
    <mergeCell ref="B9:D9"/>
    <mergeCell ref="B10:C10"/>
    <mergeCell ref="B11:C11"/>
    <mergeCell ref="B12:C12"/>
    <mergeCell ref="B5:C5"/>
    <mergeCell ref="B6:C6"/>
  </mergeCells>
  <phoneticPr fontId="24" type="noConversion"/>
  <dataValidations xWindow="465" yWindow="407" count="4">
    <dataValidation allowBlank="1" showInputMessage="1" showErrorMessage="1" prompt="Le titre de cette feuille de calcul figure dans la C2. L’instruction suivante figure dans la cellule A4." sqref="A2" xr:uid="{B4FABB03-3192-4386-8C0C-14BCEBFC58A9}"/>
    <dataValidation allowBlank="1" showInputMessage="1" showErrorMessage="1" promptTitle="Maîtrisez-vous votre budget ?" prompt="Renseignez en début de mois l'ensemble de vos R&amp;D estimés (cases éclaircies). _x000a__x000a_Renseignez le mois suivant l'ensembles de vos R&amp;D réels (cases éclaircies). _x000a__x000a_Analysez. Fixez et suivez votre budget._x000a__x000a_NB. Seules les cases éclaircies sont modifiables." sqref="E4" xr:uid="{27C4F3CE-7D8E-41CE-8E66-2AAD572F508E}"/>
    <dataValidation allowBlank="1" showErrorMessage="1" sqref="A4:A16" xr:uid="{0542CE7F-2538-49DD-A4F0-F78900F9F0E9}"/>
    <dataValidation allowBlank="1" showInputMessage="1" showErrorMessage="1" prompt="Renseignez les dépenses estimées et réelles à partir des cellules C16 et D16." sqref="E16" xr:uid="{BF9C0B52-450B-4131-BA6A-B9AC18629928}"/>
  </dataValidations>
  <printOptions horizontalCentered="1"/>
  <pageMargins left="0.4" right="0.4" top="0.4" bottom="0.4" header="0.3" footer="0.5"/>
  <pageSetup paperSize="9" fitToHeight="0" orientation="portrait" r:id="rId1"/>
  <headerFooter differentFirst="1">
    <oddFooter>Page &amp;P of &amp;N</oddFooter>
  </headerFooter>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63A6-E166-412E-9EE9-790AF7E889C3}">
  <sheetPr>
    <pageSetUpPr autoPageBreaks="0" fitToPage="1"/>
  </sheetPr>
  <dimension ref="A1:BJ142"/>
  <sheetViews>
    <sheetView showGridLines="0" zoomScale="96" zoomScaleNormal="96" workbookViewId="0">
      <selection activeCell="G29" sqref="G29"/>
    </sheetView>
  </sheetViews>
  <sheetFormatPr baseColWidth="10" defaultColWidth="10.28515625" defaultRowHeight="30" customHeight="1"/>
  <cols>
    <col min="1" max="1" width="5.42578125" style="9" customWidth="1"/>
    <col min="2" max="2" width="2.140625" style="10" customWidth="1"/>
    <col min="3" max="3" width="40.7109375" style="10" customWidth="1"/>
    <col min="4" max="15" width="10.7109375" style="11" customWidth="1"/>
    <col min="16" max="16" width="12.7109375" style="11" customWidth="1"/>
    <col min="17" max="17" width="40.7109375" style="10" customWidth="1"/>
    <col min="18" max="18" width="3" style="10" customWidth="1"/>
    <col min="19" max="16384" width="10.28515625" style="10"/>
  </cols>
  <sheetData>
    <row r="1" spans="1:62" ht="20.100000000000001" customHeight="1">
      <c r="A1" s="122"/>
      <c r="B1" s="123"/>
      <c r="C1" s="123"/>
      <c r="D1" s="124"/>
      <c r="E1" s="124"/>
      <c r="F1" s="124"/>
      <c r="G1" s="124"/>
      <c r="H1" s="124"/>
      <c r="I1" s="124"/>
      <c r="J1" s="124"/>
      <c r="K1" s="124"/>
      <c r="L1" s="124"/>
      <c r="M1" s="124"/>
      <c r="N1" s="124"/>
      <c r="O1" s="124"/>
      <c r="P1" s="124"/>
      <c r="Q1" s="123"/>
      <c r="R1" s="123"/>
      <c r="S1" s="12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row>
    <row r="2" spans="1:62" ht="20.100000000000001" customHeight="1">
      <c r="A2" s="122"/>
      <c r="B2" s="240" t="s">
        <v>142</v>
      </c>
      <c r="C2" s="240"/>
      <c r="D2" s="240"/>
      <c r="E2" s="240"/>
      <c r="F2" s="240"/>
      <c r="G2" s="240"/>
      <c r="H2" s="241">
        <f ca="1">YEAR(TODAY())</f>
        <v>2022</v>
      </c>
      <c r="I2" s="241"/>
      <c r="J2" s="160"/>
      <c r="K2" s="160"/>
      <c r="L2" s="160"/>
      <c r="M2" s="160"/>
      <c r="N2" s="160"/>
      <c r="O2" s="160"/>
      <c r="P2" s="160"/>
      <c r="Q2" s="161"/>
      <c r="R2" s="123"/>
      <c r="S2" s="123"/>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row>
    <row r="3" spans="1:62" ht="20.100000000000001" customHeight="1">
      <c r="A3" s="122"/>
      <c r="B3" s="240"/>
      <c r="C3" s="240"/>
      <c r="D3" s="240"/>
      <c r="E3" s="240"/>
      <c r="F3" s="240"/>
      <c r="G3" s="240"/>
      <c r="H3" s="241"/>
      <c r="I3" s="241"/>
      <c r="J3" s="160"/>
      <c r="K3" s="160"/>
      <c r="L3" s="160"/>
      <c r="M3" s="160"/>
      <c r="N3" s="160"/>
      <c r="O3" s="160"/>
      <c r="P3" s="160"/>
      <c r="Q3" s="161"/>
      <c r="R3" s="123"/>
      <c r="S3" s="123"/>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row>
    <row r="4" spans="1:62" ht="20.100000000000001" customHeight="1" thickBot="1">
      <c r="A4" s="127"/>
      <c r="B4" s="240"/>
      <c r="C4" s="240"/>
      <c r="D4" s="240"/>
      <c r="E4" s="240"/>
      <c r="F4" s="240"/>
      <c r="G4" s="240"/>
      <c r="H4" s="242"/>
      <c r="I4" s="242"/>
      <c r="J4" s="162"/>
      <c r="K4" s="162"/>
      <c r="L4" s="162"/>
      <c r="M4" s="162"/>
      <c r="N4" s="162"/>
      <c r="O4" s="162"/>
      <c r="P4" s="162"/>
      <c r="Q4" s="163"/>
      <c r="R4" s="123"/>
      <c r="S4" s="123"/>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row>
    <row r="5" spans="1:62" ht="20.100000000000001" customHeight="1">
      <c r="A5" s="122"/>
      <c r="B5" s="123"/>
      <c r="C5" s="123"/>
      <c r="D5" s="124"/>
      <c r="E5" s="125"/>
      <c r="F5" s="124"/>
      <c r="G5" s="124"/>
      <c r="H5" s="124"/>
      <c r="I5" s="124"/>
      <c r="J5" s="124"/>
      <c r="K5" s="124"/>
      <c r="L5" s="124"/>
      <c r="M5" s="124"/>
      <c r="N5" s="124"/>
      <c r="O5" s="124"/>
      <c r="P5" s="124"/>
      <c r="Q5" s="123"/>
      <c r="R5" s="123"/>
      <c r="S5" s="123"/>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row>
    <row r="6" spans="1:62" ht="20.100000000000001" customHeight="1">
      <c r="A6" s="122"/>
      <c r="B6" s="12"/>
      <c r="C6" s="168" t="s">
        <v>57</v>
      </c>
      <c r="D6" s="172" t="s">
        <v>58</v>
      </c>
      <c r="E6" s="172" t="s">
        <v>59</v>
      </c>
      <c r="F6" s="172" t="s">
        <v>60</v>
      </c>
      <c r="G6" s="172" t="s">
        <v>61</v>
      </c>
      <c r="H6" s="172" t="s">
        <v>62</v>
      </c>
      <c r="I6" s="172" t="s">
        <v>63</v>
      </c>
      <c r="J6" s="172" t="s">
        <v>64</v>
      </c>
      <c r="K6" s="172" t="s">
        <v>65</v>
      </c>
      <c r="L6" s="172" t="s">
        <v>66</v>
      </c>
      <c r="M6" s="172" t="s">
        <v>67</v>
      </c>
      <c r="N6" s="172" t="s">
        <v>68</v>
      </c>
      <c r="O6" s="172" t="s">
        <v>69</v>
      </c>
      <c r="P6" s="172" t="s">
        <v>70</v>
      </c>
      <c r="Q6" s="128"/>
      <c r="R6" s="123"/>
      <c r="S6" s="123"/>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row>
    <row r="7" spans="1:62" ht="20.100000000000001" customHeight="1">
      <c r="A7" s="127"/>
      <c r="B7" s="12"/>
      <c r="C7" s="171" t="s">
        <v>71</v>
      </c>
      <c r="D7" s="181" t="s">
        <v>72</v>
      </c>
      <c r="E7" s="181" t="s">
        <v>73</v>
      </c>
      <c r="F7" s="181" t="s">
        <v>74</v>
      </c>
      <c r="G7" s="181" t="s">
        <v>75</v>
      </c>
      <c r="H7" s="181" t="s">
        <v>76</v>
      </c>
      <c r="I7" s="181" t="s">
        <v>77</v>
      </c>
      <c r="J7" s="181" t="s">
        <v>78</v>
      </c>
      <c r="K7" s="181" t="s">
        <v>79</v>
      </c>
      <c r="L7" s="181" t="s">
        <v>80</v>
      </c>
      <c r="M7" s="181" t="s">
        <v>81</v>
      </c>
      <c r="N7" s="181" t="s">
        <v>82</v>
      </c>
      <c r="O7" s="181" t="s">
        <v>83</v>
      </c>
      <c r="P7" s="181" t="s">
        <v>84</v>
      </c>
      <c r="Q7" s="181" t="s">
        <v>85</v>
      </c>
      <c r="R7" s="123"/>
      <c r="S7" s="123"/>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row>
    <row r="8" spans="1:62" ht="20.100000000000001" customHeight="1">
      <c r="A8" s="122"/>
      <c r="B8" s="12"/>
      <c r="C8" s="204" t="s">
        <v>100</v>
      </c>
      <c r="D8" s="186"/>
      <c r="E8" s="186"/>
      <c r="F8" s="186"/>
      <c r="G8" s="186"/>
      <c r="H8" s="186"/>
      <c r="I8" s="186"/>
      <c r="J8" s="186"/>
      <c r="K8" s="186"/>
      <c r="L8" s="186"/>
      <c r="M8" s="186"/>
      <c r="N8" s="186"/>
      <c r="O8" s="187"/>
      <c r="P8" s="173">
        <f>SUM(Revenus[[#This Row],[Janvier]:[Décembre]])</f>
        <v>0</v>
      </c>
      <c r="Q8" s="129"/>
      <c r="R8" s="123"/>
      <c r="S8" s="123"/>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row>
    <row r="9" spans="1:62" ht="20.100000000000001" customHeight="1">
      <c r="A9" s="122"/>
      <c r="B9" s="12"/>
      <c r="C9" s="205" t="s">
        <v>101</v>
      </c>
      <c r="D9" s="159"/>
      <c r="E9" s="159"/>
      <c r="F9" s="159"/>
      <c r="G9" s="159"/>
      <c r="H9" s="159"/>
      <c r="I9" s="159"/>
      <c r="J9" s="159"/>
      <c r="K9" s="159"/>
      <c r="L9" s="159"/>
      <c r="M9" s="159"/>
      <c r="N9" s="159"/>
      <c r="O9" s="188"/>
      <c r="P9" s="173">
        <f>SUM(Revenus[[#This Row],[Janvier]:[Décembre]])</f>
        <v>0</v>
      </c>
      <c r="Q9" s="129"/>
      <c r="R9" s="123"/>
      <c r="S9" s="123"/>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row>
    <row r="10" spans="1:62" ht="20.100000000000001" customHeight="1">
      <c r="A10" s="122"/>
      <c r="B10" s="12"/>
      <c r="C10" s="206" t="s">
        <v>54</v>
      </c>
      <c r="D10" s="189"/>
      <c r="E10" s="189"/>
      <c r="F10" s="189"/>
      <c r="G10" s="189"/>
      <c r="H10" s="189"/>
      <c r="I10" s="189"/>
      <c r="J10" s="189"/>
      <c r="K10" s="189"/>
      <c r="L10" s="189"/>
      <c r="M10" s="189"/>
      <c r="N10" s="189"/>
      <c r="O10" s="190"/>
      <c r="P10" s="173">
        <f>SUM(Revenus[[#This Row],[Janvier]:[Décembre]])</f>
        <v>0</v>
      </c>
      <c r="Q10" s="129"/>
      <c r="R10" s="123"/>
      <c r="S10" s="123"/>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row>
    <row r="11" spans="1:62" ht="20.100000000000001" customHeight="1" thickBot="1">
      <c r="A11" s="122"/>
      <c r="B11" s="13"/>
      <c r="C11" s="169" t="s">
        <v>86</v>
      </c>
      <c r="D11" s="170">
        <f>SUBTOTAL(109,Revenus[Janvier])</f>
        <v>0</v>
      </c>
      <c r="E11" s="170">
        <f>SUBTOTAL(109,Revenus[Février])</f>
        <v>0</v>
      </c>
      <c r="F11" s="170">
        <f>SUBTOTAL(109,Revenus[Mars])</f>
        <v>0</v>
      </c>
      <c r="G11" s="170">
        <f>SUBTOTAL(109,Revenus[Avril])</f>
        <v>0</v>
      </c>
      <c r="H11" s="170">
        <f>SUBTOTAL(109,Revenus[Mai])</f>
        <v>0</v>
      </c>
      <c r="I11" s="170">
        <f>SUBTOTAL(109,Revenus[Juin])</f>
        <v>0</v>
      </c>
      <c r="J11" s="170">
        <f>SUBTOTAL(109,Revenus[Juillet])</f>
        <v>0</v>
      </c>
      <c r="K11" s="170">
        <f>SUBTOTAL(109,Revenus[Août])</f>
        <v>0</v>
      </c>
      <c r="L11" s="170">
        <f>SUBTOTAL(109,Revenus[Septembre])</f>
        <v>0</v>
      </c>
      <c r="M11" s="170">
        <f>SUBTOTAL(109,Revenus[Octobre])</f>
        <v>0</v>
      </c>
      <c r="N11" s="170">
        <f>SUBTOTAL(109,Revenus[Novembre])</f>
        <v>0</v>
      </c>
      <c r="O11" s="170">
        <f>SUBTOTAL(109,Revenus[Décembre])</f>
        <v>0</v>
      </c>
      <c r="P11" s="170">
        <f>SUBTOTAL(109,Revenus[Année])</f>
        <v>0</v>
      </c>
      <c r="Q11" s="130"/>
      <c r="R11" s="123"/>
      <c r="S11" s="123"/>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row>
    <row r="12" spans="1:62" ht="20.100000000000001" customHeight="1">
      <c r="A12" s="122"/>
      <c r="B12" s="123"/>
      <c r="C12" s="123"/>
      <c r="D12" s="123"/>
      <c r="E12" s="123"/>
      <c r="F12" s="123"/>
      <c r="G12" s="123"/>
      <c r="H12" s="123"/>
      <c r="I12" s="123"/>
      <c r="J12" s="123"/>
      <c r="K12" s="123"/>
      <c r="L12" s="123"/>
      <c r="M12" s="123"/>
      <c r="N12" s="123"/>
      <c r="O12" s="123"/>
      <c r="P12" s="123"/>
      <c r="Q12" s="123"/>
      <c r="R12" s="123"/>
      <c r="S12" s="123"/>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row>
    <row r="13" spans="1:62" ht="20.100000000000001" customHeight="1">
      <c r="A13" s="122"/>
      <c r="B13" s="126"/>
      <c r="C13" s="168" t="s">
        <v>87</v>
      </c>
      <c r="D13" s="172" t="s">
        <v>58</v>
      </c>
      <c r="E13" s="172" t="s">
        <v>59</v>
      </c>
      <c r="F13" s="172" t="s">
        <v>60</v>
      </c>
      <c r="G13" s="172" t="s">
        <v>61</v>
      </c>
      <c r="H13" s="172" t="s">
        <v>62</v>
      </c>
      <c r="I13" s="172" t="s">
        <v>63</v>
      </c>
      <c r="J13" s="172" t="s">
        <v>64</v>
      </c>
      <c r="K13" s="172" t="s">
        <v>65</v>
      </c>
      <c r="L13" s="172" t="s">
        <v>66</v>
      </c>
      <c r="M13" s="172" t="s">
        <v>67</v>
      </c>
      <c r="N13" s="172" t="s">
        <v>68</v>
      </c>
      <c r="O13" s="172" t="s">
        <v>69</v>
      </c>
      <c r="P13" s="172" t="s">
        <v>70</v>
      </c>
      <c r="Q13" s="131"/>
      <c r="R13" s="123"/>
      <c r="S13" s="123"/>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row>
    <row r="14" spans="1:62" ht="20.100000000000001" customHeight="1">
      <c r="A14" s="122"/>
      <c r="B14" s="14"/>
      <c r="C14" s="171" t="s">
        <v>103</v>
      </c>
      <c r="D14" s="181" t="s">
        <v>72</v>
      </c>
      <c r="E14" s="181" t="s">
        <v>73</v>
      </c>
      <c r="F14" s="181" t="s">
        <v>74</v>
      </c>
      <c r="G14" s="181" t="s">
        <v>75</v>
      </c>
      <c r="H14" s="181" t="s">
        <v>76</v>
      </c>
      <c r="I14" s="181" t="s">
        <v>77</v>
      </c>
      <c r="J14" s="181" t="s">
        <v>78</v>
      </c>
      <c r="K14" s="181" t="s">
        <v>79</v>
      </c>
      <c r="L14" s="181" t="s">
        <v>80</v>
      </c>
      <c r="M14" s="181" t="s">
        <v>81</v>
      </c>
      <c r="N14" s="181" t="s">
        <v>82</v>
      </c>
      <c r="O14" s="181" t="s">
        <v>83</v>
      </c>
      <c r="P14" s="181" t="s">
        <v>84</v>
      </c>
      <c r="Q14" s="181" t="s">
        <v>85</v>
      </c>
      <c r="R14" s="123"/>
      <c r="S14" s="123"/>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row>
    <row r="15" spans="1:62" ht="20.100000000000001" customHeight="1">
      <c r="A15" s="122"/>
      <c r="B15" s="14"/>
      <c r="C15" s="174" t="s">
        <v>113</v>
      </c>
      <c r="D15" s="191"/>
      <c r="E15" s="159"/>
      <c r="F15" s="159"/>
      <c r="G15" s="159"/>
      <c r="H15" s="159"/>
      <c r="I15" s="159"/>
      <c r="J15" s="159"/>
      <c r="K15" s="159"/>
      <c r="L15" s="159"/>
      <c r="M15" s="159"/>
      <c r="N15" s="159"/>
      <c r="O15" s="196"/>
      <c r="P15" s="173">
        <f>SUM(Foyer[[#This Row],[Janvier]:[Décembre]])</f>
        <v>0</v>
      </c>
      <c r="Q15" s="132"/>
      <c r="R15" s="123"/>
      <c r="S15" s="123"/>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row>
    <row r="16" spans="1:62" ht="20.100000000000001" customHeight="1">
      <c r="A16" s="122"/>
      <c r="B16" s="14"/>
      <c r="C16" s="174" t="s">
        <v>4</v>
      </c>
      <c r="D16" s="191"/>
      <c r="E16" s="159"/>
      <c r="F16" s="159"/>
      <c r="G16" s="159"/>
      <c r="H16" s="159"/>
      <c r="I16" s="159"/>
      <c r="J16" s="159"/>
      <c r="K16" s="159"/>
      <c r="L16" s="159"/>
      <c r="M16" s="159"/>
      <c r="N16" s="159"/>
      <c r="O16" s="196"/>
      <c r="P16" s="173">
        <f>SUM(Foyer[[#This Row],[Janvier]:[Décembre]])</f>
        <v>0</v>
      </c>
      <c r="Q16" s="132"/>
      <c r="R16" s="123"/>
      <c r="S16" s="123"/>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row>
    <row r="17" spans="1:62" ht="20.100000000000001" customHeight="1">
      <c r="A17" s="122"/>
      <c r="B17" s="14"/>
      <c r="C17" s="174" t="s">
        <v>5</v>
      </c>
      <c r="D17" s="191"/>
      <c r="E17" s="159"/>
      <c r="F17" s="159"/>
      <c r="G17" s="159"/>
      <c r="H17" s="159"/>
      <c r="I17" s="159"/>
      <c r="J17" s="159"/>
      <c r="K17" s="159"/>
      <c r="L17" s="159"/>
      <c r="M17" s="159"/>
      <c r="N17" s="159"/>
      <c r="O17" s="196"/>
      <c r="P17" s="173">
        <f>SUM(Foyer[[#This Row],[Janvier]:[Décembre]])</f>
        <v>0</v>
      </c>
      <c r="Q17" s="132"/>
      <c r="R17" s="123"/>
      <c r="S17" s="123"/>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row>
    <row r="18" spans="1:62" ht="20.100000000000001" customHeight="1">
      <c r="A18" s="122"/>
      <c r="B18" s="14"/>
      <c r="C18" s="174" t="s">
        <v>6</v>
      </c>
      <c r="D18" s="191"/>
      <c r="E18" s="159"/>
      <c r="F18" s="159"/>
      <c r="G18" s="159"/>
      <c r="H18" s="159"/>
      <c r="I18" s="159"/>
      <c r="J18" s="159"/>
      <c r="K18" s="159"/>
      <c r="L18" s="159"/>
      <c r="M18" s="159"/>
      <c r="N18" s="159"/>
      <c r="O18" s="196"/>
      <c r="P18" s="173">
        <f>SUM(Foyer[[#This Row],[Janvier]:[Décembre]])</f>
        <v>0</v>
      </c>
      <c r="Q18" s="132"/>
      <c r="R18" s="123"/>
      <c r="S18" s="123"/>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row>
    <row r="19" spans="1:62" ht="20.100000000000001" customHeight="1">
      <c r="A19" s="122"/>
      <c r="B19" s="14"/>
      <c r="C19" s="174" t="s">
        <v>3</v>
      </c>
      <c r="D19" s="191"/>
      <c r="E19" s="159"/>
      <c r="F19" s="159"/>
      <c r="G19" s="159"/>
      <c r="H19" s="159"/>
      <c r="I19" s="159"/>
      <c r="J19" s="159"/>
      <c r="K19" s="159"/>
      <c r="L19" s="159"/>
      <c r="M19" s="159"/>
      <c r="N19" s="159"/>
      <c r="O19" s="196"/>
      <c r="P19" s="173">
        <f>SUM(Foyer[[#This Row],[Janvier]:[Décembre]])</f>
        <v>0</v>
      </c>
      <c r="Q19" s="132"/>
      <c r="R19" s="123"/>
      <c r="S19" s="123"/>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row>
    <row r="20" spans="1:62" ht="20.100000000000001" customHeight="1">
      <c r="A20" s="122"/>
      <c r="B20" s="14"/>
      <c r="C20" s="174" t="s">
        <v>36</v>
      </c>
      <c r="D20" s="191"/>
      <c r="E20" s="159"/>
      <c r="F20" s="159"/>
      <c r="G20" s="159"/>
      <c r="H20" s="159"/>
      <c r="I20" s="159"/>
      <c r="J20" s="159"/>
      <c r="K20" s="159"/>
      <c r="L20" s="159"/>
      <c r="M20" s="159"/>
      <c r="N20" s="159"/>
      <c r="O20" s="196"/>
      <c r="P20" s="173">
        <f>SUM(Foyer[[#This Row],[Janvier]:[Décembre]])</f>
        <v>0</v>
      </c>
      <c r="Q20" s="132"/>
      <c r="R20" s="123"/>
      <c r="S20" s="123"/>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row>
    <row r="21" spans="1:62" ht="20.100000000000001" customHeight="1">
      <c r="A21" s="122"/>
      <c r="B21" s="14"/>
      <c r="C21" s="175" t="s">
        <v>37</v>
      </c>
      <c r="D21" s="191"/>
      <c r="E21" s="159"/>
      <c r="F21" s="159"/>
      <c r="G21" s="159"/>
      <c r="H21" s="159"/>
      <c r="I21" s="159"/>
      <c r="J21" s="159"/>
      <c r="K21" s="159"/>
      <c r="L21" s="159"/>
      <c r="M21" s="159"/>
      <c r="N21" s="159"/>
      <c r="O21" s="196"/>
      <c r="P21" s="173">
        <f>SUM(Foyer[[#This Row],[Janvier]:[Décembre]])</f>
        <v>0</v>
      </c>
      <c r="Q21" s="132"/>
      <c r="R21" s="123"/>
      <c r="S21" s="123"/>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row>
    <row r="22" spans="1:62" ht="20.100000000000001" customHeight="1">
      <c r="A22" s="122"/>
      <c r="B22" s="14"/>
      <c r="C22" s="176" t="s">
        <v>88</v>
      </c>
      <c r="D22" s="194"/>
      <c r="E22" s="192"/>
      <c r="F22" s="192"/>
      <c r="G22" s="192"/>
      <c r="H22" s="192"/>
      <c r="I22" s="192"/>
      <c r="J22" s="192"/>
      <c r="K22" s="192"/>
      <c r="L22" s="192"/>
      <c r="M22" s="192"/>
      <c r="N22" s="192"/>
      <c r="O22" s="197"/>
      <c r="P22" s="173">
        <f>SUM(Foyer[[#This Row],[Janvier]:[Décembre]])</f>
        <v>0</v>
      </c>
      <c r="Q22" s="132"/>
      <c r="R22" s="123"/>
      <c r="S22" s="123"/>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row>
    <row r="23" spans="1:62" ht="20.100000000000001" customHeight="1">
      <c r="A23" s="122"/>
      <c r="B23" s="14"/>
      <c r="C23" s="176" t="s">
        <v>7</v>
      </c>
      <c r="D23" s="195"/>
      <c r="E23" s="193"/>
      <c r="F23" s="193"/>
      <c r="G23" s="193"/>
      <c r="H23" s="193"/>
      <c r="I23" s="193"/>
      <c r="J23" s="193"/>
      <c r="K23" s="193"/>
      <c r="L23" s="193"/>
      <c r="M23" s="193"/>
      <c r="N23" s="193"/>
      <c r="O23" s="198"/>
      <c r="P23" s="173">
        <f>SUM(Foyer[[#This Row],[Janvier]:[Décembre]])</f>
        <v>0</v>
      </c>
      <c r="Q23" s="132"/>
      <c r="R23" s="123"/>
      <c r="S23" s="123"/>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row>
    <row r="24" spans="1:62" ht="20.100000000000001" customHeight="1" thickBot="1">
      <c r="A24" s="133"/>
      <c r="B24" s="15"/>
      <c r="C24" s="184" t="s">
        <v>86</v>
      </c>
      <c r="D24" s="185">
        <f>SUBTOTAL(109,Foyer[Janvier])</f>
        <v>0</v>
      </c>
      <c r="E24" s="185">
        <f>SUBTOTAL(109,Foyer[Février])</f>
        <v>0</v>
      </c>
      <c r="F24" s="185">
        <f>SUBTOTAL(109,Foyer[Mars])</f>
        <v>0</v>
      </c>
      <c r="G24" s="185">
        <f>SUBTOTAL(109,Foyer[Avril])</f>
        <v>0</v>
      </c>
      <c r="H24" s="185">
        <f>SUBTOTAL(109,Foyer[Mai])</f>
        <v>0</v>
      </c>
      <c r="I24" s="185">
        <f>SUBTOTAL(109,Foyer[Juin])</f>
        <v>0</v>
      </c>
      <c r="J24" s="185">
        <f>SUBTOTAL(109,Foyer[Juillet])</f>
        <v>0</v>
      </c>
      <c r="K24" s="185">
        <f>SUBTOTAL(109,Foyer[Août])</f>
        <v>0</v>
      </c>
      <c r="L24" s="185">
        <f>SUBTOTAL(109,Foyer[Septembre])</f>
        <v>0</v>
      </c>
      <c r="M24" s="185">
        <f>SUBTOTAL(109,Foyer[Octobre])</f>
        <v>0</v>
      </c>
      <c r="N24" s="185">
        <f>SUBTOTAL(109,Foyer[Novembre])</f>
        <v>0</v>
      </c>
      <c r="O24" s="185">
        <f>SUBTOTAL(109,Foyer[Décembre])</f>
        <v>0</v>
      </c>
      <c r="P24" s="185">
        <f>SUBTOTAL(109,Foyer[Année])</f>
        <v>0</v>
      </c>
      <c r="Q24" s="134"/>
      <c r="R24" s="123"/>
      <c r="S24" s="123"/>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row>
    <row r="25" spans="1:62" ht="20.100000000000001" customHeight="1">
      <c r="A25" s="122"/>
      <c r="B25" s="123"/>
      <c r="C25" s="123"/>
      <c r="D25" s="123"/>
      <c r="E25" s="123"/>
      <c r="F25" s="123"/>
      <c r="G25" s="123"/>
      <c r="H25" s="123"/>
      <c r="I25" s="123"/>
      <c r="J25" s="123"/>
      <c r="K25" s="123"/>
      <c r="L25" s="123"/>
      <c r="M25" s="123"/>
      <c r="N25" s="123"/>
      <c r="O25" s="123"/>
      <c r="P25" s="123"/>
      <c r="Q25" s="123"/>
      <c r="R25" s="123"/>
      <c r="S25" s="123"/>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row>
    <row r="26" spans="1:62" ht="20.100000000000001" customHeight="1">
      <c r="A26" s="122"/>
      <c r="B26" s="14"/>
      <c r="C26" s="165" t="s">
        <v>94</v>
      </c>
      <c r="D26" s="183" t="s">
        <v>72</v>
      </c>
      <c r="E26" s="183" t="s">
        <v>73</v>
      </c>
      <c r="F26" s="183" t="s">
        <v>74</v>
      </c>
      <c r="G26" s="183" t="s">
        <v>75</v>
      </c>
      <c r="H26" s="183" t="s">
        <v>76</v>
      </c>
      <c r="I26" s="183" t="s">
        <v>77</v>
      </c>
      <c r="J26" s="183" t="s">
        <v>78</v>
      </c>
      <c r="K26" s="183" t="s">
        <v>79</v>
      </c>
      <c r="L26" s="183" t="s">
        <v>80</v>
      </c>
      <c r="M26" s="183" t="s">
        <v>81</v>
      </c>
      <c r="N26" s="183" t="s">
        <v>82</v>
      </c>
      <c r="O26" s="183" t="s">
        <v>83</v>
      </c>
      <c r="P26" s="183" t="s">
        <v>84</v>
      </c>
      <c r="Q26" s="181" t="s">
        <v>85</v>
      </c>
      <c r="R26" s="123"/>
      <c r="S26" s="123"/>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row>
    <row r="27" spans="1:62" ht="20.100000000000001" customHeight="1">
      <c r="A27" s="122"/>
      <c r="B27" s="14"/>
      <c r="C27" s="152" t="s">
        <v>38</v>
      </c>
      <c r="D27" s="159"/>
      <c r="E27" s="159"/>
      <c r="F27" s="159"/>
      <c r="G27" s="159"/>
      <c r="H27" s="159"/>
      <c r="I27" s="159"/>
      <c r="J27" s="159"/>
      <c r="K27" s="159"/>
      <c r="L27" s="159"/>
      <c r="M27" s="159"/>
      <c r="N27" s="159"/>
      <c r="O27" s="159"/>
      <c r="P27" s="173">
        <f>SUM(Quotidien[[#This Row],[Janvier]:[Décembre]])</f>
        <v>0</v>
      </c>
      <c r="Q27" s="135"/>
      <c r="R27" s="123"/>
      <c r="S27" s="123"/>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row>
    <row r="28" spans="1:62" ht="20.100000000000001" customHeight="1">
      <c r="A28" s="122"/>
      <c r="B28" s="14"/>
      <c r="C28" s="152" t="s">
        <v>43</v>
      </c>
      <c r="D28" s="159"/>
      <c r="E28" s="159"/>
      <c r="F28" s="159"/>
      <c r="G28" s="159"/>
      <c r="H28" s="159"/>
      <c r="I28" s="159"/>
      <c r="J28" s="159"/>
      <c r="K28" s="159"/>
      <c r="L28" s="159"/>
      <c r="M28" s="159"/>
      <c r="N28" s="159"/>
      <c r="O28" s="159"/>
      <c r="P28" s="173">
        <f>SUM(Quotidien[[#This Row],[Janvier]:[Décembre]])</f>
        <v>0</v>
      </c>
      <c r="Q28" s="135"/>
      <c r="R28" s="123"/>
      <c r="S28" s="123"/>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row>
    <row r="29" spans="1:62" ht="20.100000000000001" customHeight="1">
      <c r="A29" s="122"/>
      <c r="B29" s="14"/>
      <c r="C29" s="152" t="s">
        <v>45</v>
      </c>
      <c r="D29" s="159"/>
      <c r="E29" s="159"/>
      <c r="F29" s="159"/>
      <c r="G29" s="159"/>
      <c r="H29" s="159"/>
      <c r="I29" s="159"/>
      <c r="J29" s="159"/>
      <c r="K29" s="159"/>
      <c r="L29" s="159"/>
      <c r="M29" s="159"/>
      <c r="N29" s="159"/>
      <c r="O29" s="159"/>
      <c r="P29" s="177">
        <f>SUM(Quotidien[[#This Row],[Janvier]:[Décembre]])</f>
        <v>0</v>
      </c>
      <c r="Q29" s="135"/>
      <c r="R29" s="123"/>
      <c r="S29" s="123"/>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row>
    <row r="30" spans="1:62" ht="20.100000000000001" customHeight="1">
      <c r="A30" s="122"/>
      <c r="B30" s="14"/>
      <c r="C30" s="152" t="s">
        <v>44</v>
      </c>
      <c r="D30" s="159"/>
      <c r="E30" s="159"/>
      <c r="F30" s="159"/>
      <c r="G30" s="159"/>
      <c r="H30" s="159"/>
      <c r="I30" s="159"/>
      <c r="J30" s="159"/>
      <c r="K30" s="159"/>
      <c r="L30" s="159"/>
      <c r="M30" s="159"/>
      <c r="N30" s="159"/>
      <c r="O30" s="159"/>
      <c r="P30" s="177">
        <f>SUM(Quotidien[[#This Row],[Janvier]:[Décembre]])</f>
        <v>0</v>
      </c>
      <c r="Q30" s="135"/>
      <c r="R30" s="123"/>
      <c r="S30" s="123"/>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row>
    <row r="31" spans="1:62" ht="20.100000000000001" customHeight="1">
      <c r="A31" s="122"/>
      <c r="B31" s="14"/>
      <c r="C31" s="152" t="s">
        <v>41</v>
      </c>
      <c r="D31" s="159"/>
      <c r="E31" s="159"/>
      <c r="F31" s="159"/>
      <c r="G31" s="159"/>
      <c r="H31" s="159"/>
      <c r="I31" s="159"/>
      <c r="J31" s="159"/>
      <c r="K31" s="159"/>
      <c r="L31" s="159"/>
      <c r="M31" s="159"/>
      <c r="N31" s="159"/>
      <c r="O31" s="159"/>
      <c r="P31" s="177">
        <f>SUM(Quotidien[[#This Row],[Janvier]:[Décembre]])</f>
        <v>0</v>
      </c>
      <c r="Q31" s="135"/>
      <c r="R31" s="123"/>
      <c r="S31" s="123"/>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row>
    <row r="32" spans="1:62" ht="20.100000000000001" customHeight="1">
      <c r="A32" s="122"/>
      <c r="B32" s="14"/>
      <c r="C32" s="152" t="s">
        <v>40</v>
      </c>
      <c r="D32" s="159"/>
      <c r="E32" s="159"/>
      <c r="F32" s="159"/>
      <c r="G32" s="159"/>
      <c r="H32" s="159"/>
      <c r="I32" s="159"/>
      <c r="J32" s="159"/>
      <c r="K32" s="159"/>
      <c r="L32" s="159"/>
      <c r="M32" s="159"/>
      <c r="N32" s="159"/>
      <c r="O32" s="159"/>
      <c r="P32" s="177">
        <f>SUM(Quotidien[[#This Row],[Janvier]:[Décembre]])</f>
        <v>0</v>
      </c>
      <c r="Q32" s="135"/>
      <c r="R32" s="123"/>
      <c r="S32" s="123"/>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row>
    <row r="33" spans="1:62" ht="20.100000000000001" customHeight="1">
      <c r="A33" s="122"/>
      <c r="B33" s="14"/>
      <c r="C33" s="152" t="s">
        <v>39</v>
      </c>
      <c r="D33" s="159"/>
      <c r="E33" s="159"/>
      <c r="F33" s="159"/>
      <c r="G33" s="159"/>
      <c r="H33" s="159"/>
      <c r="I33" s="159"/>
      <c r="J33" s="159"/>
      <c r="K33" s="159"/>
      <c r="L33" s="159"/>
      <c r="M33" s="159"/>
      <c r="N33" s="159"/>
      <c r="O33" s="159"/>
      <c r="P33" s="177">
        <f>SUM(Quotidien[[#This Row],[Janvier]:[Décembre]])</f>
        <v>0</v>
      </c>
      <c r="Q33" s="135"/>
      <c r="R33" s="123"/>
      <c r="S33" s="123"/>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row>
    <row r="34" spans="1:62" ht="20.100000000000001" customHeight="1">
      <c r="A34" s="122"/>
      <c r="B34" s="14"/>
      <c r="C34" s="152" t="s">
        <v>42</v>
      </c>
      <c r="D34" s="159"/>
      <c r="E34" s="159"/>
      <c r="F34" s="159"/>
      <c r="G34" s="159"/>
      <c r="H34" s="159"/>
      <c r="I34" s="159"/>
      <c r="J34" s="159"/>
      <c r="K34" s="159"/>
      <c r="L34" s="159"/>
      <c r="M34" s="159"/>
      <c r="N34" s="159"/>
      <c r="O34" s="159"/>
      <c r="P34" s="173">
        <f>SUM(Quotidien[[#This Row],[Janvier]:[Décembre]])</f>
        <v>0</v>
      </c>
      <c r="Q34" s="135"/>
      <c r="R34" s="123"/>
      <c r="S34" s="123"/>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row>
    <row r="35" spans="1:62" ht="20.100000000000001" customHeight="1">
      <c r="A35" s="122"/>
      <c r="B35" s="14"/>
      <c r="C35" s="152" t="s">
        <v>7</v>
      </c>
      <c r="D35" s="159"/>
      <c r="E35" s="159"/>
      <c r="F35" s="159"/>
      <c r="G35" s="159"/>
      <c r="H35" s="159"/>
      <c r="I35" s="159"/>
      <c r="J35" s="159"/>
      <c r="K35" s="159"/>
      <c r="L35" s="159"/>
      <c r="M35" s="159"/>
      <c r="N35" s="159"/>
      <c r="O35" s="159"/>
      <c r="P35" s="173">
        <f>SUM(Quotidien[[#This Row],[Janvier]:[Décembre]])</f>
        <v>0</v>
      </c>
      <c r="Q35" s="135"/>
      <c r="R35" s="123"/>
      <c r="S35" s="123"/>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row>
    <row r="36" spans="1:62" ht="20.100000000000001" customHeight="1" thickBot="1">
      <c r="A36" s="122"/>
      <c r="B36" s="19"/>
      <c r="C36" s="166" t="s">
        <v>86</v>
      </c>
      <c r="D36" s="167">
        <f>SUBTOTAL(109,Quotidien[Janvier])</f>
        <v>0</v>
      </c>
      <c r="E36" s="167">
        <f>SUBTOTAL(109,Quotidien[Février])</f>
        <v>0</v>
      </c>
      <c r="F36" s="167">
        <f>SUBTOTAL(109,Quotidien[Mars])</f>
        <v>0</v>
      </c>
      <c r="G36" s="167">
        <f>SUBTOTAL(109,Quotidien[Avril])</f>
        <v>0</v>
      </c>
      <c r="H36" s="167">
        <f>SUBTOTAL(109,Quotidien[Mai])</f>
        <v>0</v>
      </c>
      <c r="I36" s="167">
        <f>SUBTOTAL(109,Quotidien[Juin])</f>
        <v>0</v>
      </c>
      <c r="J36" s="167">
        <f>SUBTOTAL(109,Quotidien[Juillet])</f>
        <v>0</v>
      </c>
      <c r="K36" s="167">
        <f>SUBTOTAL(109,Quotidien[Août])</f>
        <v>0</v>
      </c>
      <c r="L36" s="167">
        <f>SUBTOTAL(109,Quotidien[Septembre])</f>
        <v>0</v>
      </c>
      <c r="M36" s="167">
        <f>SUBTOTAL(109,Quotidien[Octobre])</f>
        <v>0</v>
      </c>
      <c r="N36" s="167">
        <f>SUBTOTAL(109,Quotidien[Novembre])</f>
        <v>0</v>
      </c>
      <c r="O36" s="167">
        <f>SUBTOTAL(109,Quotidien[Décembre])</f>
        <v>0</v>
      </c>
      <c r="P36" s="167">
        <f>SUBTOTAL(109,Quotidien[Année])</f>
        <v>0</v>
      </c>
      <c r="Q36" s="136"/>
      <c r="R36" s="123"/>
      <c r="S36" s="123"/>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row>
    <row r="37" spans="1:62" ht="20.100000000000001" customHeight="1" thickTop="1">
      <c r="A37" s="122"/>
      <c r="B37" s="123"/>
      <c r="C37" s="243"/>
      <c r="D37" s="243"/>
      <c r="E37" s="243"/>
      <c r="F37" s="243"/>
      <c r="G37" s="243"/>
      <c r="H37" s="243"/>
      <c r="I37" s="243"/>
      <c r="J37" s="243"/>
      <c r="K37" s="243"/>
      <c r="L37" s="243"/>
      <c r="M37" s="243"/>
      <c r="N37" s="243"/>
      <c r="O37" s="243"/>
      <c r="P37" s="243"/>
      <c r="Q37" s="243"/>
      <c r="R37" s="123"/>
      <c r="S37" s="123"/>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row>
    <row r="38" spans="1:62" ht="20.100000000000001" customHeight="1">
      <c r="A38" s="127"/>
      <c r="B38" s="14"/>
      <c r="C38" s="165" t="s">
        <v>92</v>
      </c>
      <c r="D38" s="182" t="s">
        <v>72</v>
      </c>
      <c r="E38" s="181" t="s">
        <v>73</v>
      </c>
      <c r="F38" s="182" t="s">
        <v>74</v>
      </c>
      <c r="G38" s="181" t="s">
        <v>75</v>
      </c>
      <c r="H38" s="182" t="s">
        <v>76</v>
      </c>
      <c r="I38" s="181" t="s">
        <v>77</v>
      </c>
      <c r="J38" s="182" t="s">
        <v>78</v>
      </c>
      <c r="K38" s="181" t="s">
        <v>79</v>
      </c>
      <c r="L38" s="182" t="s">
        <v>80</v>
      </c>
      <c r="M38" s="181" t="s">
        <v>81</v>
      </c>
      <c r="N38" s="182" t="s">
        <v>82</v>
      </c>
      <c r="O38" s="181" t="s">
        <v>83</v>
      </c>
      <c r="P38" s="182" t="s">
        <v>84</v>
      </c>
      <c r="Q38" s="181" t="s">
        <v>85</v>
      </c>
      <c r="R38" s="123"/>
      <c r="S38" s="123"/>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row>
    <row r="39" spans="1:62" ht="20.100000000000001" customHeight="1">
      <c r="A39" s="122"/>
      <c r="B39" s="14"/>
      <c r="C39" s="203" t="s">
        <v>10</v>
      </c>
      <c r="D39" s="186"/>
      <c r="E39" s="186"/>
      <c r="F39" s="186"/>
      <c r="G39" s="186"/>
      <c r="H39" s="186"/>
      <c r="I39" s="186"/>
      <c r="J39" s="186"/>
      <c r="K39" s="186"/>
      <c r="L39" s="186"/>
      <c r="M39" s="186"/>
      <c r="N39" s="186"/>
      <c r="O39" s="186"/>
      <c r="P39" s="173">
        <f>SUM(Transports[[#This Row],[Janvier]:[Décembre]])</f>
        <v>0</v>
      </c>
      <c r="Q39" s="135"/>
      <c r="R39" s="123"/>
      <c r="S39" s="123"/>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row>
    <row r="40" spans="1:62" ht="20.100000000000001" customHeight="1">
      <c r="A40" s="122"/>
      <c r="B40" s="14"/>
      <c r="C40" s="152" t="s">
        <v>9</v>
      </c>
      <c r="D40" s="159"/>
      <c r="E40" s="159"/>
      <c r="F40" s="159"/>
      <c r="G40" s="159"/>
      <c r="H40" s="159"/>
      <c r="I40" s="159"/>
      <c r="J40" s="159"/>
      <c r="K40" s="159"/>
      <c r="L40" s="159"/>
      <c r="M40" s="159"/>
      <c r="N40" s="159"/>
      <c r="O40" s="159"/>
      <c r="P40" s="173">
        <f>SUM(Transports[[#This Row],[Janvier]:[Décembre]])</f>
        <v>0</v>
      </c>
      <c r="Q40" s="135"/>
      <c r="R40" s="123"/>
      <c r="S40" s="123"/>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row>
    <row r="41" spans="1:62" ht="20.100000000000001" customHeight="1">
      <c r="A41" s="122"/>
      <c r="B41" s="14"/>
      <c r="C41" s="152" t="s">
        <v>88</v>
      </c>
      <c r="D41" s="159"/>
      <c r="E41" s="159"/>
      <c r="F41" s="159"/>
      <c r="G41" s="159"/>
      <c r="H41" s="159"/>
      <c r="I41" s="159"/>
      <c r="J41" s="159"/>
      <c r="K41" s="159"/>
      <c r="L41" s="159"/>
      <c r="M41" s="159"/>
      <c r="N41" s="159"/>
      <c r="O41" s="159"/>
      <c r="P41" s="173">
        <f>SUM(Transports[[#This Row],[Janvier]:[Décembre]])</f>
        <v>0</v>
      </c>
      <c r="Q41" s="135"/>
      <c r="R41" s="123"/>
      <c r="S41" s="123"/>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row>
    <row r="42" spans="1:62" ht="20.100000000000001" customHeight="1">
      <c r="A42" s="122"/>
      <c r="B42" s="14"/>
      <c r="C42" s="152" t="s">
        <v>107</v>
      </c>
      <c r="D42" s="159"/>
      <c r="E42" s="159"/>
      <c r="F42" s="159"/>
      <c r="G42" s="159"/>
      <c r="H42" s="159"/>
      <c r="I42" s="159"/>
      <c r="J42" s="159"/>
      <c r="K42" s="159"/>
      <c r="L42" s="159"/>
      <c r="M42" s="159"/>
      <c r="N42" s="159"/>
      <c r="O42" s="159"/>
      <c r="P42" s="173">
        <f>SUM(Transports[[#This Row],[Janvier]:[Décembre]])</f>
        <v>0</v>
      </c>
      <c r="Q42" s="135"/>
      <c r="R42" s="123"/>
      <c r="S42" s="123"/>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row>
    <row r="43" spans="1:62" ht="20.100000000000001" customHeight="1">
      <c r="A43" s="122"/>
      <c r="B43" s="14"/>
      <c r="C43" s="152" t="s">
        <v>106</v>
      </c>
      <c r="D43" s="159"/>
      <c r="E43" s="159"/>
      <c r="F43" s="159"/>
      <c r="G43" s="159"/>
      <c r="H43" s="159"/>
      <c r="I43" s="159"/>
      <c r="J43" s="159"/>
      <c r="K43" s="159"/>
      <c r="L43" s="159"/>
      <c r="M43" s="159"/>
      <c r="N43" s="159"/>
      <c r="O43" s="159"/>
      <c r="P43" s="173">
        <f>SUM(Transports[[#This Row],[Janvier]:[Décembre]])</f>
        <v>0</v>
      </c>
      <c r="Q43" s="135"/>
      <c r="R43" s="123"/>
      <c r="S43" s="123"/>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row>
    <row r="44" spans="1:62" ht="20.100000000000001" customHeight="1">
      <c r="A44" s="122"/>
      <c r="B44" s="14"/>
      <c r="C44" s="152" t="s">
        <v>93</v>
      </c>
      <c r="D44" s="159"/>
      <c r="E44" s="159"/>
      <c r="F44" s="159"/>
      <c r="G44" s="159"/>
      <c r="H44" s="159"/>
      <c r="I44" s="159"/>
      <c r="J44" s="159"/>
      <c r="K44" s="159"/>
      <c r="L44" s="159"/>
      <c r="M44" s="159"/>
      <c r="N44" s="159"/>
      <c r="O44" s="159"/>
      <c r="P44" s="173">
        <f>SUM(Transports[[#This Row],[Janvier]:[Décembre]])</f>
        <v>0</v>
      </c>
      <c r="Q44" s="135"/>
      <c r="R44" s="123"/>
      <c r="S44" s="123"/>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row>
    <row r="45" spans="1:62" ht="20.100000000000001" customHeight="1">
      <c r="A45" s="122"/>
      <c r="B45" s="14"/>
      <c r="C45" s="152" t="s">
        <v>104</v>
      </c>
      <c r="D45" s="159"/>
      <c r="E45" s="159"/>
      <c r="F45" s="159"/>
      <c r="G45" s="159"/>
      <c r="H45" s="159"/>
      <c r="I45" s="159"/>
      <c r="J45" s="159"/>
      <c r="K45" s="159"/>
      <c r="L45" s="159"/>
      <c r="M45" s="159"/>
      <c r="N45" s="159"/>
      <c r="O45" s="159"/>
      <c r="P45" s="173">
        <f>SUM(Transports[[#This Row],[Janvier]:[Décembre]])</f>
        <v>0</v>
      </c>
      <c r="Q45" s="135"/>
      <c r="R45" s="123"/>
      <c r="S45" s="123"/>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row>
    <row r="46" spans="1:62" ht="20.100000000000001" customHeight="1">
      <c r="A46" s="133"/>
      <c r="B46" s="14"/>
      <c r="C46" s="152" t="s">
        <v>7</v>
      </c>
      <c r="D46" s="159"/>
      <c r="E46" s="159"/>
      <c r="F46" s="159"/>
      <c r="G46" s="159"/>
      <c r="H46" s="159"/>
      <c r="I46" s="159"/>
      <c r="J46" s="159"/>
      <c r="K46" s="159"/>
      <c r="L46" s="159"/>
      <c r="M46" s="159"/>
      <c r="N46" s="159"/>
      <c r="O46" s="159"/>
      <c r="P46" s="173">
        <f>SUM(Transports[[#This Row],[Janvier]:[Décembre]])</f>
        <v>0</v>
      </c>
      <c r="Q46" s="135"/>
      <c r="R46" s="123"/>
      <c r="S46" s="123"/>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row>
    <row r="47" spans="1:62" ht="20.100000000000001" customHeight="1" thickBot="1">
      <c r="A47" s="122"/>
      <c r="B47" s="19"/>
      <c r="C47" s="156" t="s">
        <v>86</v>
      </c>
      <c r="D47" s="157">
        <f>SUBTOTAL(109,Transports[Janvier])</f>
        <v>0</v>
      </c>
      <c r="E47" s="157">
        <f>SUBTOTAL(109,Transports[Février])</f>
        <v>0</v>
      </c>
      <c r="F47" s="157">
        <f>SUBTOTAL(109,Transports[Mars])</f>
        <v>0</v>
      </c>
      <c r="G47" s="157">
        <f>SUBTOTAL(109,Transports[Avril])</f>
        <v>0</v>
      </c>
      <c r="H47" s="157">
        <f>SUBTOTAL(109,Transports[Mai])</f>
        <v>0</v>
      </c>
      <c r="I47" s="157">
        <f>SUBTOTAL(109,Transports[Juin])</f>
        <v>0</v>
      </c>
      <c r="J47" s="157">
        <f>SUBTOTAL(109,Transports[Juillet])</f>
        <v>0</v>
      </c>
      <c r="K47" s="157">
        <f>SUBTOTAL(109,Transports[Août])</f>
        <v>0</v>
      </c>
      <c r="L47" s="157">
        <f>SUBTOTAL(109,Transports[Septembre])</f>
        <v>0</v>
      </c>
      <c r="M47" s="157">
        <f>SUBTOTAL(109,Transports[Octobre])</f>
        <v>0</v>
      </c>
      <c r="N47" s="157">
        <f>SUBTOTAL(109,Transports[Novembre])</f>
        <v>0</v>
      </c>
      <c r="O47" s="157">
        <f>SUBTOTAL(109,Transports[Décembre])</f>
        <v>0</v>
      </c>
      <c r="P47" s="157">
        <f>SUBTOTAL(109,Transports[Année])</f>
        <v>0</v>
      </c>
      <c r="Q47" s="137"/>
      <c r="R47" s="123"/>
      <c r="S47" s="123"/>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row>
    <row r="48" spans="1:62" ht="20.100000000000001" customHeight="1" thickTop="1">
      <c r="A48" s="122"/>
      <c r="B48" s="123"/>
      <c r="C48" s="243"/>
      <c r="D48" s="243"/>
      <c r="E48" s="243"/>
      <c r="F48" s="243"/>
      <c r="G48" s="243"/>
      <c r="H48" s="243"/>
      <c r="I48" s="243"/>
      <c r="J48" s="243"/>
      <c r="K48" s="243"/>
      <c r="L48" s="243"/>
      <c r="M48" s="243"/>
      <c r="N48" s="243"/>
      <c r="O48" s="243"/>
      <c r="P48" s="243"/>
      <c r="Q48" s="243"/>
      <c r="R48" s="123"/>
      <c r="S48" s="123"/>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row>
    <row r="49" spans="1:62" ht="20.100000000000001" customHeight="1">
      <c r="A49" s="122"/>
      <c r="B49" s="14"/>
      <c r="C49" s="165" t="s">
        <v>126</v>
      </c>
      <c r="D49" s="182" t="s">
        <v>72</v>
      </c>
      <c r="E49" s="181" t="s">
        <v>73</v>
      </c>
      <c r="F49" s="182" t="s">
        <v>74</v>
      </c>
      <c r="G49" s="181" t="s">
        <v>75</v>
      </c>
      <c r="H49" s="182" t="s">
        <v>76</v>
      </c>
      <c r="I49" s="181" t="s">
        <v>77</v>
      </c>
      <c r="J49" s="182" t="s">
        <v>78</v>
      </c>
      <c r="K49" s="181" t="s">
        <v>79</v>
      </c>
      <c r="L49" s="182" t="s">
        <v>80</v>
      </c>
      <c r="M49" s="181" t="s">
        <v>81</v>
      </c>
      <c r="N49" s="182" t="s">
        <v>82</v>
      </c>
      <c r="O49" s="181" t="s">
        <v>83</v>
      </c>
      <c r="P49" s="182" t="s">
        <v>84</v>
      </c>
      <c r="Q49" s="181" t="s">
        <v>85</v>
      </c>
      <c r="R49" s="123"/>
      <c r="S49" s="123"/>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row>
    <row r="50" spans="1:62" ht="20.100000000000001" customHeight="1">
      <c r="A50" s="122"/>
      <c r="B50" s="14"/>
      <c r="C50" s="152" t="s">
        <v>108</v>
      </c>
      <c r="D50" s="199"/>
      <c r="E50" s="199"/>
      <c r="F50" s="199"/>
      <c r="G50" s="199"/>
      <c r="H50" s="199"/>
      <c r="I50" s="199"/>
      <c r="J50" s="199"/>
      <c r="K50" s="199"/>
      <c r="L50" s="199"/>
      <c r="M50" s="199"/>
      <c r="N50" s="199"/>
      <c r="O50" s="199"/>
      <c r="P50" s="173">
        <f>SUM(Loisirs18[[#This Row],[Janvier]:[Décembre]])</f>
        <v>0</v>
      </c>
      <c r="Q50" s="135"/>
      <c r="R50" s="123"/>
      <c r="S50" s="123"/>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row>
    <row r="51" spans="1:62" ht="20.100000000000001" customHeight="1">
      <c r="A51" s="122"/>
      <c r="B51" s="14"/>
      <c r="C51" s="152" t="s">
        <v>110</v>
      </c>
      <c r="D51" s="159"/>
      <c r="E51" s="159"/>
      <c r="F51" s="159"/>
      <c r="G51" s="159"/>
      <c r="H51" s="159"/>
      <c r="I51" s="159"/>
      <c r="J51" s="159"/>
      <c r="K51" s="159"/>
      <c r="L51" s="159"/>
      <c r="M51" s="159"/>
      <c r="N51" s="159"/>
      <c r="O51" s="159"/>
      <c r="P51" s="173">
        <f>SUM(Loisirs18[[#This Row],[Janvier]:[Décembre]])</f>
        <v>0</v>
      </c>
      <c r="Q51" s="135"/>
      <c r="R51" s="123"/>
      <c r="S51" s="123"/>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row>
    <row r="52" spans="1:62" ht="20.100000000000001" customHeight="1">
      <c r="A52" s="122"/>
      <c r="B52" s="14"/>
      <c r="C52" s="152" t="s">
        <v>109</v>
      </c>
      <c r="D52" s="159"/>
      <c r="E52" s="159"/>
      <c r="F52" s="159"/>
      <c r="G52" s="159"/>
      <c r="H52" s="159"/>
      <c r="I52" s="159"/>
      <c r="J52" s="159"/>
      <c r="K52" s="159"/>
      <c r="L52" s="159"/>
      <c r="M52" s="159"/>
      <c r="N52" s="159"/>
      <c r="O52" s="159"/>
      <c r="P52" s="173">
        <f>SUM(Loisirs18[[#This Row],[Janvier]:[Décembre]])</f>
        <v>0</v>
      </c>
      <c r="Q52" s="135"/>
      <c r="R52" s="123"/>
      <c r="S52" s="123"/>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row>
    <row r="53" spans="1:62" ht="20.100000000000001" customHeight="1">
      <c r="A53" s="122"/>
      <c r="B53" s="14"/>
      <c r="C53" s="152" t="s">
        <v>111</v>
      </c>
      <c r="D53" s="159"/>
      <c r="E53" s="159"/>
      <c r="F53" s="159"/>
      <c r="G53" s="159"/>
      <c r="H53" s="159"/>
      <c r="I53" s="159"/>
      <c r="J53" s="159"/>
      <c r="K53" s="159"/>
      <c r="L53" s="159"/>
      <c r="M53" s="159"/>
      <c r="N53" s="159"/>
      <c r="O53" s="159"/>
      <c r="P53" s="173">
        <f>SUM(Loisirs18[[#This Row],[Janvier]:[Décembre]])</f>
        <v>0</v>
      </c>
      <c r="Q53" s="135"/>
      <c r="R53" s="123"/>
      <c r="S53" s="123"/>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row>
    <row r="54" spans="1:62" ht="20.100000000000001" customHeight="1">
      <c r="A54" s="133"/>
      <c r="B54" s="14"/>
      <c r="C54" s="152" t="s">
        <v>20</v>
      </c>
      <c r="D54" s="159"/>
      <c r="E54" s="159"/>
      <c r="F54" s="159"/>
      <c r="G54" s="159"/>
      <c r="H54" s="159"/>
      <c r="I54" s="159"/>
      <c r="J54" s="159"/>
      <c r="K54" s="159"/>
      <c r="L54" s="159"/>
      <c r="M54" s="159"/>
      <c r="N54" s="159"/>
      <c r="O54" s="159"/>
      <c r="P54" s="173">
        <f>SUM(Loisirs18[[#This Row],[Janvier]:[Décembre]])</f>
        <v>0</v>
      </c>
      <c r="Q54" s="135"/>
      <c r="R54" s="123"/>
      <c r="S54" s="123"/>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row>
    <row r="55" spans="1:62" ht="20.100000000000001" customHeight="1">
      <c r="A55" s="122"/>
      <c r="B55" s="14"/>
      <c r="C55" s="202" t="s">
        <v>7</v>
      </c>
      <c r="D55" s="159"/>
      <c r="E55" s="159"/>
      <c r="F55" s="159"/>
      <c r="G55" s="159"/>
      <c r="H55" s="159"/>
      <c r="I55" s="159"/>
      <c r="J55" s="159"/>
      <c r="K55" s="159"/>
      <c r="L55" s="159"/>
      <c r="M55" s="159"/>
      <c r="N55" s="159"/>
      <c r="O55" s="159"/>
      <c r="P55" s="173">
        <f>SUM(Loisirs18[[#This Row],[Janvier]:[Décembre]])</f>
        <v>0</v>
      </c>
      <c r="Q55" s="135"/>
      <c r="R55" s="123"/>
      <c r="S55" s="123"/>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row>
    <row r="56" spans="1:62" ht="20.100000000000001" customHeight="1" thickBot="1">
      <c r="A56" s="122"/>
      <c r="B56" s="19"/>
      <c r="C56" s="156" t="s">
        <v>86</v>
      </c>
      <c r="D56" s="157">
        <f>SUBTOTAL(109,Loisirs18[Janvier])</f>
        <v>0</v>
      </c>
      <c r="E56" s="157">
        <f>SUBTOTAL(109,Loisirs18[Février])</f>
        <v>0</v>
      </c>
      <c r="F56" s="157">
        <f>SUBTOTAL(109,Loisirs18[Mars])</f>
        <v>0</v>
      </c>
      <c r="G56" s="157">
        <f>SUBTOTAL(109,Loisirs18[Avril])</f>
        <v>0</v>
      </c>
      <c r="H56" s="157">
        <f>SUBTOTAL(109,Loisirs18[Mai])</f>
        <v>0</v>
      </c>
      <c r="I56" s="157">
        <f>SUBTOTAL(109,Loisirs18[Juin])</f>
        <v>0</v>
      </c>
      <c r="J56" s="157">
        <f>SUBTOTAL(109,Loisirs18[Juillet])</f>
        <v>0</v>
      </c>
      <c r="K56" s="157">
        <f>SUBTOTAL(109,Loisirs18[Août])</f>
        <v>0</v>
      </c>
      <c r="L56" s="157">
        <f>SUBTOTAL(109,Loisirs18[Septembre])</f>
        <v>0</v>
      </c>
      <c r="M56" s="157">
        <f>SUBTOTAL(109,Loisirs18[Octobre])</f>
        <v>0</v>
      </c>
      <c r="N56" s="157">
        <f>SUBTOTAL(109,Loisirs18[Novembre])</f>
        <v>0</v>
      </c>
      <c r="O56" s="157">
        <f>SUBTOTAL(109,Loisirs18[Décembre])</f>
        <v>0</v>
      </c>
      <c r="P56" s="157">
        <f>SUBTOTAL(109,Loisirs18[Année])</f>
        <v>0</v>
      </c>
      <c r="Q56" s="137"/>
      <c r="R56" s="123"/>
      <c r="S56" s="123"/>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row>
    <row r="57" spans="1:62" ht="20.100000000000001" customHeight="1" thickTop="1">
      <c r="A57" s="122"/>
      <c r="B57" s="123"/>
      <c r="C57" s="243"/>
      <c r="D57" s="243"/>
      <c r="E57" s="243"/>
      <c r="F57" s="243"/>
      <c r="G57" s="243"/>
      <c r="H57" s="243"/>
      <c r="I57" s="243"/>
      <c r="J57" s="243"/>
      <c r="K57" s="243"/>
      <c r="L57" s="243"/>
      <c r="M57" s="243"/>
      <c r="N57" s="243"/>
      <c r="O57" s="243"/>
      <c r="P57" s="243"/>
      <c r="Q57" s="243"/>
      <c r="R57" s="123"/>
      <c r="S57" s="123"/>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row>
    <row r="58" spans="1:62" ht="20.100000000000001" customHeight="1">
      <c r="A58" s="122"/>
      <c r="B58" s="14"/>
      <c r="C58" s="164" t="s">
        <v>128</v>
      </c>
      <c r="D58" s="182" t="s">
        <v>72</v>
      </c>
      <c r="E58" s="181" t="s">
        <v>73</v>
      </c>
      <c r="F58" s="182" t="s">
        <v>74</v>
      </c>
      <c r="G58" s="181" t="s">
        <v>75</v>
      </c>
      <c r="H58" s="182" t="s">
        <v>76</v>
      </c>
      <c r="I58" s="181" t="s">
        <v>77</v>
      </c>
      <c r="J58" s="182" t="s">
        <v>78</v>
      </c>
      <c r="K58" s="181" t="s">
        <v>79</v>
      </c>
      <c r="L58" s="182" t="s">
        <v>80</v>
      </c>
      <c r="M58" s="181" t="s">
        <v>81</v>
      </c>
      <c r="N58" s="182" t="s">
        <v>82</v>
      </c>
      <c r="O58" s="181" t="s">
        <v>83</v>
      </c>
      <c r="P58" s="182" t="s">
        <v>84</v>
      </c>
      <c r="Q58" s="181" t="s">
        <v>85</v>
      </c>
      <c r="R58" s="123"/>
      <c r="S58" s="123"/>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row>
    <row r="59" spans="1:62" ht="20.100000000000001" customHeight="1">
      <c r="A59" s="122"/>
      <c r="B59" s="14"/>
      <c r="C59" s="152" t="s">
        <v>114</v>
      </c>
      <c r="D59" s="199"/>
      <c r="E59" s="199"/>
      <c r="F59" s="199"/>
      <c r="G59" s="199"/>
      <c r="H59" s="199"/>
      <c r="I59" s="199"/>
      <c r="J59" s="199"/>
      <c r="K59" s="199"/>
      <c r="L59" s="199"/>
      <c r="M59" s="199"/>
      <c r="N59" s="199"/>
      <c r="O59" s="199"/>
      <c r="P59" s="153">
        <f>SUM(Santé[[#This Row],[Janvier]:[Décembre]])</f>
        <v>0</v>
      </c>
      <c r="Q59" s="138"/>
      <c r="R59" s="123"/>
      <c r="S59" s="123"/>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row>
    <row r="60" spans="1:62" ht="20.100000000000001" customHeight="1">
      <c r="A60" s="122"/>
      <c r="B60" s="14"/>
      <c r="C60" s="152" t="s">
        <v>110</v>
      </c>
      <c r="D60" s="159"/>
      <c r="E60" s="159"/>
      <c r="F60" s="159"/>
      <c r="G60" s="159"/>
      <c r="H60" s="159"/>
      <c r="I60" s="159"/>
      <c r="J60" s="159"/>
      <c r="K60" s="159"/>
      <c r="L60" s="159"/>
      <c r="M60" s="159"/>
      <c r="N60" s="159"/>
      <c r="O60" s="159"/>
      <c r="P60" s="153">
        <f>SUM(Santé[[#This Row],[Janvier]:[Décembre]])</f>
        <v>0</v>
      </c>
      <c r="Q60" s="138"/>
      <c r="R60" s="123"/>
      <c r="S60" s="123"/>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row>
    <row r="61" spans="1:62" ht="20.100000000000001" customHeight="1">
      <c r="A61" s="122"/>
      <c r="B61" s="14"/>
      <c r="C61" s="152" t="s">
        <v>11</v>
      </c>
      <c r="D61" s="159"/>
      <c r="E61" s="159"/>
      <c r="F61" s="159"/>
      <c r="G61" s="159"/>
      <c r="H61" s="159"/>
      <c r="I61" s="159"/>
      <c r="J61" s="159"/>
      <c r="K61" s="159"/>
      <c r="L61" s="159"/>
      <c r="M61" s="159"/>
      <c r="N61" s="159"/>
      <c r="O61" s="159"/>
      <c r="P61" s="153">
        <f>SUM(Santé[[#This Row],[Janvier]:[Décembre]])</f>
        <v>0</v>
      </c>
      <c r="Q61" s="138"/>
      <c r="R61" s="123"/>
      <c r="S61" s="123"/>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row>
    <row r="62" spans="1:62" ht="20.100000000000001" customHeight="1">
      <c r="A62" s="133"/>
      <c r="B62" s="14"/>
      <c r="C62" s="152" t="s">
        <v>12</v>
      </c>
      <c r="D62" s="159"/>
      <c r="E62" s="159"/>
      <c r="F62" s="159"/>
      <c r="G62" s="159"/>
      <c r="H62" s="159"/>
      <c r="I62" s="159"/>
      <c r="J62" s="159"/>
      <c r="K62" s="159"/>
      <c r="L62" s="159"/>
      <c r="M62" s="159"/>
      <c r="N62" s="159"/>
      <c r="O62" s="159"/>
      <c r="P62" s="153">
        <f>SUM(Santé[[#This Row],[Janvier]:[Décembre]])</f>
        <v>0</v>
      </c>
      <c r="Q62" s="138"/>
      <c r="R62" s="123"/>
      <c r="S62" s="123"/>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row>
    <row r="63" spans="1:62" ht="20.100000000000001" customHeight="1">
      <c r="A63" s="122"/>
      <c r="B63" s="14"/>
      <c r="C63" s="152" t="s">
        <v>7</v>
      </c>
      <c r="D63" s="159"/>
      <c r="E63" s="159"/>
      <c r="F63" s="159"/>
      <c r="G63" s="159"/>
      <c r="H63" s="159"/>
      <c r="I63" s="159"/>
      <c r="J63" s="159"/>
      <c r="K63" s="159"/>
      <c r="L63" s="159"/>
      <c r="M63" s="159"/>
      <c r="N63" s="159"/>
      <c r="O63" s="159"/>
      <c r="P63" s="153">
        <f>SUM(Santé[[#This Row],[Janvier]:[Décembre]])</f>
        <v>0</v>
      </c>
      <c r="Q63" s="138"/>
      <c r="R63" s="123"/>
      <c r="S63" s="123"/>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row>
    <row r="64" spans="1:62" ht="20.100000000000001" customHeight="1" thickBot="1">
      <c r="A64" s="122"/>
      <c r="B64" s="19"/>
      <c r="C64" s="156" t="s">
        <v>86</v>
      </c>
      <c r="D64" s="157">
        <f>SUBTOTAL(109,Santé[Janvier])</f>
        <v>0</v>
      </c>
      <c r="E64" s="157">
        <f>SUBTOTAL(109,Santé[Février])</f>
        <v>0</v>
      </c>
      <c r="F64" s="157">
        <f>SUBTOTAL(109,Santé[Mars])</f>
        <v>0</v>
      </c>
      <c r="G64" s="157">
        <f>SUBTOTAL(109,Santé[Avril])</f>
        <v>0</v>
      </c>
      <c r="H64" s="157">
        <f>SUBTOTAL(109,Santé[Mai])</f>
        <v>0</v>
      </c>
      <c r="I64" s="157">
        <f>SUBTOTAL(109,Santé[Juin])</f>
        <v>0</v>
      </c>
      <c r="J64" s="157">
        <f>SUBTOTAL(109,Santé[Juillet])</f>
        <v>0</v>
      </c>
      <c r="K64" s="157">
        <f>SUBTOTAL(109,Santé[Août])</f>
        <v>0</v>
      </c>
      <c r="L64" s="157">
        <f>SUBTOTAL(109,Santé[Septembre])</f>
        <v>0</v>
      </c>
      <c r="M64" s="157">
        <f>SUBTOTAL(109,Santé[Octobre])</f>
        <v>0</v>
      </c>
      <c r="N64" s="157">
        <f>SUBTOTAL(109,Santé[Novembre])</f>
        <v>0</v>
      </c>
      <c r="O64" s="157">
        <f>SUBTOTAL(109,Santé[Décembre])</f>
        <v>0</v>
      </c>
      <c r="P64" s="157">
        <f>SUBTOTAL(109,Santé[Année])</f>
        <v>0</v>
      </c>
      <c r="Q64" s="137"/>
      <c r="R64" s="123"/>
      <c r="S64" s="123"/>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row>
    <row r="65" spans="1:62" ht="20.100000000000001" customHeight="1" thickTop="1">
      <c r="A65" s="122"/>
      <c r="B65" s="126"/>
      <c r="C65" s="243"/>
      <c r="D65" s="243"/>
      <c r="E65" s="243"/>
      <c r="F65" s="243"/>
      <c r="G65" s="243"/>
      <c r="H65" s="243"/>
      <c r="I65" s="243"/>
      <c r="J65" s="243"/>
      <c r="K65" s="243"/>
      <c r="L65" s="243"/>
      <c r="M65" s="243"/>
      <c r="N65" s="243"/>
      <c r="O65" s="243"/>
      <c r="P65" s="243"/>
      <c r="Q65" s="243"/>
      <c r="R65" s="123"/>
      <c r="S65" s="123"/>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row>
    <row r="66" spans="1:62" ht="20.100000000000001" customHeight="1">
      <c r="A66" s="122"/>
      <c r="B66" s="14"/>
      <c r="C66" s="164" t="s">
        <v>129</v>
      </c>
      <c r="D66" s="181" t="s">
        <v>72</v>
      </c>
      <c r="E66" s="181" t="s">
        <v>73</v>
      </c>
      <c r="F66" s="181" t="s">
        <v>74</v>
      </c>
      <c r="G66" s="181" t="s">
        <v>75</v>
      </c>
      <c r="H66" s="181" t="s">
        <v>76</v>
      </c>
      <c r="I66" s="181" t="s">
        <v>77</v>
      </c>
      <c r="J66" s="181" t="s">
        <v>78</v>
      </c>
      <c r="K66" s="181" t="s">
        <v>79</v>
      </c>
      <c r="L66" s="181" t="s">
        <v>80</v>
      </c>
      <c r="M66" s="181" t="s">
        <v>81</v>
      </c>
      <c r="N66" s="181" t="s">
        <v>82</v>
      </c>
      <c r="O66" s="181" t="s">
        <v>83</v>
      </c>
      <c r="P66" s="181" t="s">
        <v>84</v>
      </c>
      <c r="Q66" s="181" t="s">
        <v>85</v>
      </c>
      <c r="R66" s="123"/>
      <c r="S66" s="123"/>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row>
    <row r="67" spans="1:62" ht="20.100000000000001" customHeight="1">
      <c r="A67" s="122"/>
      <c r="B67" s="14"/>
      <c r="C67" s="152" t="s">
        <v>46</v>
      </c>
      <c r="D67" s="199"/>
      <c r="E67" s="199"/>
      <c r="F67" s="199"/>
      <c r="G67" s="199"/>
      <c r="H67" s="199"/>
      <c r="I67" s="199"/>
      <c r="J67" s="199"/>
      <c r="K67" s="199"/>
      <c r="L67" s="199"/>
      <c r="M67" s="199"/>
      <c r="N67" s="199"/>
      <c r="O67" s="199"/>
      <c r="P67" s="153">
        <f>SUM(Vacances[[#This Row],[Janvier]:[Décembre]])</f>
        <v>0</v>
      </c>
      <c r="Q67" s="138"/>
      <c r="R67" s="123"/>
      <c r="S67" s="123"/>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row>
    <row r="68" spans="1:62" ht="20.100000000000001" customHeight="1">
      <c r="A68" s="122"/>
      <c r="B68" s="14"/>
      <c r="C68" s="152" t="s">
        <v>124</v>
      </c>
      <c r="D68" s="159"/>
      <c r="E68" s="159"/>
      <c r="F68" s="159"/>
      <c r="G68" s="159"/>
      <c r="H68" s="159"/>
      <c r="I68" s="159"/>
      <c r="J68" s="159"/>
      <c r="K68" s="159"/>
      <c r="L68" s="159"/>
      <c r="M68" s="159"/>
      <c r="N68" s="159"/>
      <c r="O68" s="159"/>
      <c r="P68" s="153">
        <f>SUM(Vacances[[#This Row],[Janvier]:[Décembre]])</f>
        <v>0</v>
      </c>
      <c r="Q68" s="138"/>
      <c r="R68" s="123"/>
      <c r="S68" s="123"/>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row>
    <row r="69" spans="1:62" ht="20.100000000000001" customHeight="1">
      <c r="A69" s="122"/>
      <c r="B69" s="14"/>
      <c r="C69" s="152" t="s">
        <v>115</v>
      </c>
      <c r="D69" s="159"/>
      <c r="E69" s="159"/>
      <c r="F69" s="159"/>
      <c r="G69" s="159"/>
      <c r="H69" s="159"/>
      <c r="I69" s="159"/>
      <c r="J69" s="159"/>
      <c r="K69" s="159"/>
      <c r="L69" s="159"/>
      <c r="M69" s="159"/>
      <c r="N69" s="159"/>
      <c r="O69" s="159"/>
      <c r="P69" s="153">
        <f>SUM(Vacances[[#This Row],[Janvier]:[Décembre]])</f>
        <v>0</v>
      </c>
      <c r="Q69" s="138"/>
      <c r="R69" s="123"/>
      <c r="S69" s="123"/>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row>
    <row r="70" spans="1:62" ht="20.100000000000001" customHeight="1">
      <c r="A70" s="122"/>
      <c r="B70" s="14"/>
      <c r="C70" s="152" t="s">
        <v>47</v>
      </c>
      <c r="D70" s="159"/>
      <c r="E70" s="159"/>
      <c r="F70" s="159"/>
      <c r="G70" s="159"/>
      <c r="H70" s="159"/>
      <c r="I70" s="159"/>
      <c r="J70" s="159"/>
      <c r="K70" s="159"/>
      <c r="L70" s="159"/>
      <c r="M70" s="159"/>
      <c r="N70" s="159"/>
      <c r="O70" s="159"/>
      <c r="P70" s="153">
        <f>SUM(Vacances[[#This Row],[Janvier]:[Décembre]])</f>
        <v>0</v>
      </c>
      <c r="Q70" s="138"/>
      <c r="R70" s="123"/>
      <c r="S70" s="123"/>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row>
    <row r="71" spans="1:62" ht="20.100000000000001" customHeight="1">
      <c r="A71" s="122"/>
      <c r="B71" s="14"/>
      <c r="C71" s="152" t="s">
        <v>7</v>
      </c>
      <c r="D71" s="159"/>
      <c r="E71" s="159"/>
      <c r="F71" s="159"/>
      <c r="G71" s="159"/>
      <c r="H71" s="159"/>
      <c r="I71" s="159"/>
      <c r="J71" s="159"/>
      <c r="K71" s="159"/>
      <c r="L71" s="159"/>
      <c r="M71" s="159"/>
      <c r="N71" s="159"/>
      <c r="O71" s="159"/>
      <c r="P71" s="153">
        <f>SUM(Vacances[[#This Row],[Janvier]:[Décembre]])</f>
        <v>0</v>
      </c>
      <c r="Q71" s="138"/>
      <c r="R71" s="123"/>
      <c r="S71" s="123"/>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row>
    <row r="72" spans="1:62" ht="20.100000000000001" customHeight="1" thickBot="1">
      <c r="A72" s="122"/>
      <c r="B72" s="19"/>
      <c r="C72" s="156" t="s">
        <v>86</v>
      </c>
      <c r="D72" s="157">
        <f>SUBTOTAL(109,Vacances[Janvier])</f>
        <v>0</v>
      </c>
      <c r="E72" s="157">
        <f>SUBTOTAL(109,Vacances[Février])</f>
        <v>0</v>
      </c>
      <c r="F72" s="157">
        <f>SUBTOTAL(109,Vacances[Mars])</f>
        <v>0</v>
      </c>
      <c r="G72" s="157">
        <f>SUBTOTAL(109,Vacances[Avril])</f>
        <v>0</v>
      </c>
      <c r="H72" s="157">
        <f>SUBTOTAL(109,Vacances[Mai])</f>
        <v>0</v>
      </c>
      <c r="I72" s="157">
        <f>SUBTOTAL(109,Vacances[Juin])</f>
        <v>0</v>
      </c>
      <c r="J72" s="157">
        <f>SUBTOTAL(109,Vacances[Juillet])</f>
        <v>0</v>
      </c>
      <c r="K72" s="157">
        <f>SUBTOTAL(109,Vacances[Août])</f>
        <v>0</v>
      </c>
      <c r="L72" s="157">
        <f>SUBTOTAL(109,Vacances[Septembre])</f>
        <v>0</v>
      </c>
      <c r="M72" s="157">
        <f>SUBTOTAL(109,Vacances[Octobre])</f>
        <v>0</v>
      </c>
      <c r="N72" s="157">
        <f>SUBTOTAL(109,Vacances[Novembre])</f>
        <v>0</v>
      </c>
      <c r="O72" s="157">
        <f>SUBTOTAL(109,Vacances[Décembre])</f>
        <v>0</v>
      </c>
      <c r="P72" s="157">
        <f>SUBTOTAL(109,Vacances[Année])</f>
        <v>0</v>
      </c>
      <c r="Q72" s="137"/>
      <c r="R72" s="123"/>
      <c r="S72" s="123"/>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row>
    <row r="73" spans="1:62" ht="20.100000000000001" customHeight="1" thickTop="1">
      <c r="A73" s="122"/>
      <c r="B73" s="126"/>
      <c r="C73" s="243"/>
      <c r="D73" s="243"/>
      <c r="E73" s="243"/>
      <c r="F73" s="243"/>
      <c r="G73" s="243"/>
      <c r="H73" s="243"/>
      <c r="I73" s="243"/>
      <c r="J73" s="243"/>
      <c r="K73" s="243"/>
      <c r="L73" s="243"/>
      <c r="M73" s="243"/>
      <c r="N73" s="243"/>
      <c r="O73" s="243"/>
      <c r="P73" s="243"/>
      <c r="Q73" s="243"/>
      <c r="R73" s="123"/>
      <c r="S73" s="123"/>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row>
    <row r="74" spans="1:62" ht="20.100000000000001" customHeight="1">
      <c r="A74" s="122"/>
      <c r="B74" s="14"/>
      <c r="C74" s="158" t="s">
        <v>130</v>
      </c>
      <c r="D74" s="150" t="s">
        <v>72</v>
      </c>
      <c r="E74" s="150" t="s">
        <v>73</v>
      </c>
      <c r="F74" s="150" t="s">
        <v>74</v>
      </c>
      <c r="G74" s="150" t="s">
        <v>75</v>
      </c>
      <c r="H74" s="150" t="s">
        <v>76</v>
      </c>
      <c r="I74" s="150" t="s">
        <v>77</v>
      </c>
      <c r="J74" s="150" t="s">
        <v>78</v>
      </c>
      <c r="K74" s="150" t="s">
        <v>79</v>
      </c>
      <c r="L74" s="150" t="s">
        <v>80</v>
      </c>
      <c r="M74" s="150" t="s">
        <v>81</v>
      </c>
      <c r="N74" s="150" t="s">
        <v>82</v>
      </c>
      <c r="O74" s="150" t="s">
        <v>83</v>
      </c>
      <c r="P74" s="150" t="s">
        <v>84</v>
      </c>
      <c r="Q74" s="150" t="s">
        <v>85</v>
      </c>
      <c r="R74" s="123"/>
      <c r="S74" s="123"/>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row>
    <row r="75" spans="1:62" ht="20.100000000000001" customHeight="1">
      <c r="A75" s="122"/>
      <c r="B75" s="14"/>
      <c r="C75" s="152" t="s">
        <v>14</v>
      </c>
      <c r="D75" s="159"/>
      <c r="E75" s="159"/>
      <c r="F75" s="159"/>
      <c r="G75" s="159"/>
      <c r="H75" s="159"/>
      <c r="I75" s="159"/>
      <c r="J75" s="159"/>
      <c r="K75" s="159"/>
      <c r="L75" s="159"/>
      <c r="M75" s="159"/>
      <c r="N75" s="159"/>
      <c r="O75" s="159"/>
      <c r="P75" s="153">
        <f>SUM(Détente[[#This Row],[Janvier]:[Décembre]])</f>
        <v>0</v>
      </c>
      <c r="Q75" s="138"/>
      <c r="R75" s="123"/>
      <c r="S75" s="123"/>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row>
    <row r="76" spans="1:62" ht="20.100000000000001" customHeight="1">
      <c r="A76" s="122"/>
      <c r="B76" s="14"/>
      <c r="C76" s="152" t="s">
        <v>48</v>
      </c>
      <c r="D76" s="159"/>
      <c r="E76" s="159"/>
      <c r="F76" s="159"/>
      <c r="G76" s="159"/>
      <c r="H76" s="159"/>
      <c r="I76" s="159"/>
      <c r="J76" s="159"/>
      <c r="K76" s="159"/>
      <c r="L76" s="159"/>
      <c r="M76" s="159"/>
      <c r="N76" s="159"/>
      <c r="O76" s="159"/>
      <c r="P76" s="153">
        <f>SUM(Détente[[#This Row],[Janvier]:[Décembre]])</f>
        <v>0</v>
      </c>
      <c r="Q76" s="138"/>
      <c r="R76" s="123"/>
      <c r="S76" s="123"/>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row>
    <row r="77" spans="1:62" ht="20.100000000000001" customHeight="1">
      <c r="A77" s="122"/>
      <c r="B77" s="14"/>
      <c r="C77" s="152" t="s">
        <v>7</v>
      </c>
      <c r="D77" s="159"/>
      <c r="E77" s="159"/>
      <c r="F77" s="159"/>
      <c r="G77" s="159"/>
      <c r="H77" s="159"/>
      <c r="I77" s="159"/>
      <c r="J77" s="159"/>
      <c r="K77" s="159"/>
      <c r="L77" s="159"/>
      <c r="M77" s="159"/>
      <c r="N77" s="159"/>
      <c r="O77" s="159"/>
      <c r="P77" s="153">
        <f>SUM(Détente[[#This Row],[Janvier]:[Décembre]])</f>
        <v>0</v>
      </c>
      <c r="Q77" s="138"/>
      <c r="R77" s="123"/>
      <c r="S77" s="123"/>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row>
    <row r="78" spans="1:62" ht="20.100000000000001" customHeight="1" thickBot="1">
      <c r="A78" s="122"/>
      <c r="B78" s="19"/>
      <c r="C78" s="156" t="s">
        <v>86</v>
      </c>
      <c r="D78" s="157">
        <f>SUBTOTAL(109,Détente[Janvier])</f>
        <v>0</v>
      </c>
      <c r="E78" s="157">
        <f>SUBTOTAL(109,Détente[Février])</f>
        <v>0</v>
      </c>
      <c r="F78" s="157">
        <f>SUBTOTAL(109,Détente[Mars])</f>
        <v>0</v>
      </c>
      <c r="G78" s="157">
        <f>SUBTOTAL(109,Détente[Avril])</f>
        <v>0</v>
      </c>
      <c r="H78" s="157">
        <f>SUBTOTAL(109,Détente[Mai])</f>
        <v>0</v>
      </c>
      <c r="I78" s="157">
        <f>SUBTOTAL(109,Détente[Juin])</f>
        <v>0</v>
      </c>
      <c r="J78" s="157">
        <f>SUBTOTAL(109,Détente[Juillet])</f>
        <v>0</v>
      </c>
      <c r="K78" s="157">
        <f>SUBTOTAL(109,Détente[Août])</f>
        <v>0</v>
      </c>
      <c r="L78" s="157">
        <f>SUBTOTAL(109,Détente[Septembre])</f>
        <v>0</v>
      </c>
      <c r="M78" s="157">
        <f>SUBTOTAL(109,Détente[Octobre])</f>
        <v>0</v>
      </c>
      <c r="N78" s="157">
        <f>SUBTOTAL(109,Détente[Novembre])</f>
        <v>0</v>
      </c>
      <c r="O78" s="157">
        <f>SUBTOTAL(109,Détente[Décembre])</f>
        <v>0</v>
      </c>
      <c r="P78" s="157">
        <f>SUBTOTAL(109,Détente[Année])</f>
        <v>0</v>
      </c>
      <c r="Q78" s="137"/>
      <c r="R78" s="123"/>
      <c r="S78" s="123"/>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row>
    <row r="79" spans="1:62" ht="20.100000000000001" customHeight="1" thickTop="1">
      <c r="A79" s="122"/>
      <c r="B79" s="126"/>
      <c r="C79" s="243"/>
      <c r="D79" s="243"/>
      <c r="E79" s="243"/>
      <c r="F79" s="243"/>
      <c r="G79" s="243"/>
      <c r="H79" s="243"/>
      <c r="I79" s="243"/>
      <c r="J79" s="243"/>
      <c r="K79" s="243"/>
      <c r="L79" s="243"/>
      <c r="M79" s="243"/>
      <c r="N79" s="243"/>
      <c r="O79" s="243"/>
      <c r="P79" s="243"/>
      <c r="Q79" s="243"/>
      <c r="R79" s="123"/>
      <c r="S79" s="123"/>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row>
    <row r="80" spans="1:62" ht="20.100000000000001" customHeight="1">
      <c r="A80" s="122"/>
      <c r="B80" s="14"/>
      <c r="C80" s="158" t="s">
        <v>132</v>
      </c>
      <c r="D80" s="150" t="s">
        <v>72</v>
      </c>
      <c r="E80" s="150" t="s">
        <v>73</v>
      </c>
      <c r="F80" s="150" t="s">
        <v>74</v>
      </c>
      <c r="G80" s="150" t="s">
        <v>75</v>
      </c>
      <c r="H80" s="150" t="s">
        <v>76</v>
      </c>
      <c r="I80" s="150" t="s">
        <v>77</v>
      </c>
      <c r="J80" s="150" t="s">
        <v>78</v>
      </c>
      <c r="K80" s="150" t="s">
        <v>79</v>
      </c>
      <c r="L80" s="150" t="s">
        <v>80</v>
      </c>
      <c r="M80" s="150" t="s">
        <v>81</v>
      </c>
      <c r="N80" s="150" t="s">
        <v>82</v>
      </c>
      <c r="O80" s="150" t="s">
        <v>83</v>
      </c>
      <c r="P80" s="150" t="s">
        <v>84</v>
      </c>
      <c r="Q80" s="150" t="s">
        <v>85</v>
      </c>
      <c r="R80" s="123"/>
      <c r="S80" s="123"/>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row>
    <row r="81" spans="1:62" ht="20.100000000000001" customHeight="1">
      <c r="A81" s="122"/>
      <c r="B81" s="14"/>
      <c r="C81" s="200" t="s">
        <v>125</v>
      </c>
      <c r="D81" s="201"/>
      <c r="E81" s="201"/>
      <c r="F81" s="201"/>
      <c r="G81" s="201"/>
      <c r="H81" s="201"/>
      <c r="I81" s="201"/>
      <c r="J81" s="201"/>
      <c r="K81" s="201"/>
      <c r="L81" s="201"/>
      <c r="M81" s="201"/>
      <c r="N81" s="201"/>
      <c r="O81" s="201"/>
      <c r="P81" s="153">
        <f>SUM(CotisationsEtAbonnements[[#This Row],[Janvier]:[Décembre]])</f>
        <v>0</v>
      </c>
      <c r="Q81" s="138"/>
      <c r="R81" s="123"/>
      <c r="S81" s="123"/>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row>
    <row r="82" spans="1:62" ht="20.100000000000001" customHeight="1">
      <c r="A82" s="122"/>
      <c r="B82" s="14"/>
      <c r="C82" s="178" t="s">
        <v>49</v>
      </c>
      <c r="D82" s="159"/>
      <c r="E82" s="159"/>
      <c r="F82" s="159"/>
      <c r="G82" s="159"/>
      <c r="H82" s="159"/>
      <c r="I82" s="159"/>
      <c r="J82" s="159"/>
      <c r="K82" s="159"/>
      <c r="L82" s="159"/>
      <c r="M82" s="159"/>
      <c r="N82" s="159"/>
      <c r="O82" s="159"/>
      <c r="P82" s="153">
        <f>SUM(CotisationsEtAbonnements[[#This Row],[Janvier]:[Décembre]])</f>
        <v>0</v>
      </c>
      <c r="Q82" s="138"/>
      <c r="R82" s="123"/>
      <c r="S82" s="123"/>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row>
    <row r="83" spans="1:62" ht="20.100000000000001" customHeight="1">
      <c r="A83" s="122"/>
      <c r="B83" s="14"/>
      <c r="C83" s="152" t="s">
        <v>50</v>
      </c>
      <c r="D83" s="159"/>
      <c r="E83" s="159"/>
      <c r="F83" s="159"/>
      <c r="G83" s="159"/>
      <c r="H83" s="159"/>
      <c r="I83" s="159"/>
      <c r="J83" s="159"/>
      <c r="K83" s="159"/>
      <c r="L83" s="159"/>
      <c r="M83" s="159"/>
      <c r="N83" s="159"/>
      <c r="O83" s="159"/>
      <c r="P83" s="153">
        <f>SUM(CotisationsEtAbonnements[[#This Row],[Janvier]:[Décembre]])</f>
        <v>0</v>
      </c>
      <c r="Q83" s="138"/>
      <c r="R83" s="123"/>
      <c r="S83" s="123"/>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row>
    <row r="84" spans="1:62" ht="20.100000000000001" customHeight="1">
      <c r="A84" s="122"/>
      <c r="B84" s="14"/>
      <c r="C84" s="152" t="s">
        <v>95</v>
      </c>
      <c r="D84" s="159"/>
      <c r="E84" s="159"/>
      <c r="F84" s="159"/>
      <c r="G84" s="159"/>
      <c r="H84" s="159"/>
      <c r="I84" s="159"/>
      <c r="J84" s="159"/>
      <c r="K84" s="159"/>
      <c r="L84" s="159"/>
      <c r="M84" s="159"/>
      <c r="N84" s="159"/>
      <c r="O84" s="159"/>
      <c r="P84" s="153">
        <f>SUM(CotisationsEtAbonnements[[#This Row],[Janvier]:[Décembre]])</f>
        <v>0</v>
      </c>
      <c r="Q84" s="138"/>
      <c r="R84" s="123"/>
      <c r="S84" s="123"/>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row>
    <row r="85" spans="1:62" ht="20.100000000000001" customHeight="1">
      <c r="A85" s="122"/>
      <c r="B85" s="14"/>
      <c r="C85" s="152" t="s">
        <v>7</v>
      </c>
      <c r="D85" s="159"/>
      <c r="E85" s="159"/>
      <c r="F85" s="159"/>
      <c r="G85" s="159"/>
      <c r="H85" s="159"/>
      <c r="I85" s="159"/>
      <c r="J85" s="159"/>
      <c r="K85" s="159"/>
      <c r="L85" s="159"/>
      <c r="M85" s="159"/>
      <c r="N85" s="159"/>
      <c r="O85" s="159"/>
      <c r="P85" s="153">
        <f>SUM(CotisationsEtAbonnements[[#This Row],[Janvier]:[Décembre]])</f>
        <v>0</v>
      </c>
      <c r="Q85" s="138"/>
      <c r="R85" s="123"/>
      <c r="S85" s="123"/>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row>
    <row r="86" spans="1:62" ht="20.100000000000001" customHeight="1" thickBot="1">
      <c r="A86" s="122"/>
      <c r="B86" s="19"/>
      <c r="C86" s="156" t="s">
        <v>86</v>
      </c>
      <c r="D86" s="157">
        <f>SUBTOTAL(109,CotisationsEtAbonnements[Janvier])</f>
        <v>0</v>
      </c>
      <c r="E86" s="157">
        <f>SUBTOTAL(109,CotisationsEtAbonnements[Février])</f>
        <v>0</v>
      </c>
      <c r="F86" s="157">
        <f>SUBTOTAL(109,CotisationsEtAbonnements[Mars])</f>
        <v>0</v>
      </c>
      <c r="G86" s="157">
        <f>SUBTOTAL(109,CotisationsEtAbonnements[Avril])</f>
        <v>0</v>
      </c>
      <c r="H86" s="157">
        <f>SUBTOTAL(109,CotisationsEtAbonnements[Mai])</f>
        <v>0</v>
      </c>
      <c r="I86" s="157">
        <f>SUBTOTAL(109,CotisationsEtAbonnements[Juin])</f>
        <v>0</v>
      </c>
      <c r="J86" s="157">
        <f>SUBTOTAL(109,CotisationsEtAbonnements[Juillet])</f>
        <v>0</v>
      </c>
      <c r="K86" s="157">
        <f>SUBTOTAL(109,CotisationsEtAbonnements[Août])</f>
        <v>0</v>
      </c>
      <c r="L86" s="157">
        <f>SUBTOTAL(109,CotisationsEtAbonnements[Septembre])</f>
        <v>0</v>
      </c>
      <c r="M86" s="157">
        <f>SUBTOTAL(109,CotisationsEtAbonnements[Octobre])</f>
        <v>0</v>
      </c>
      <c r="N86" s="157">
        <f>SUBTOTAL(109,CotisationsEtAbonnements[Novembre])</f>
        <v>0</v>
      </c>
      <c r="O86" s="157">
        <f>SUBTOTAL(109,CotisationsEtAbonnements[Décembre])</f>
        <v>0</v>
      </c>
      <c r="P86" s="157">
        <f>SUBTOTAL(109,CotisationsEtAbonnements[Année])</f>
        <v>0</v>
      </c>
      <c r="Q86" s="137"/>
      <c r="R86" s="123"/>
      <c r="S86" s="123"/>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row>
    <row r="87" spans="1:62" ht="20.100000000000001" customHeight="1" thickTop="1">
      <c r="A87" s="122"/>
      <c r="B87" s="126"/>
      <c r="C87" s="243"/>
      <c r="D87" s="243"/>
      <c r="E87" s="243"/>
      <c r="F87" s="243"/>
      <c r="G87" s="243"/>
      <c r="H87" s="243"/>
      <c r="I87" s="243"/>
      <c r="J87" s="243"/>
      <c r="K87" s="243"/>
      <c r="L87" s="243"/>
      <c r="M87" s="243"/>
      <c r="N87" s="243"/>
      <c r="O87" s="243"/>
      <c r="P87" s="243"/>
      <c r="Q87" s="243"/>
      <c r="R87" s="123"/>
      <c r="S87" s="123"/>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row>
    <row r="88" spans="1:62" ht="20.100000000000001" customHeight="1">
      <c r="A88" s="122"/>
      <c r="B88" s="14"/>
      <c r="C88" s="158" t="s">
        <v>133</v>
      </c>
      <c r="D88" s="150" t="s">
        <v>72</v>
      </c>
      <c r="E88" s="150" t="s">
        <v>73</v>
      </c>
      <c r="F88" s="150" t="s">
        <v>74</v>
      </c>
      <c r="G88" s="150" t="s">
        <v>75</v>
      </c>
      <c r="H88" s="150" t="s">
        <v>76</v>
      </c>
      <c r="I88" s="150" t="s">
        <v>77</v>
      </c>
      <c r="J88" s="150" t="s">
        <v>78</v>
      </c>
      <c r="K88" s="150" t="s">
        <v>79</v>
      </c>
      <c r="L88" s="150" t="s">
        <v>80</v>
      </c>
      <c r="M88" s="150" t="s">
        <v>81</v>
      </c>
      <c r="N88" s="150" t="s">
        <v>82</v>
      </c>
      <c r="O88" s="150" t="s">
        <v>83</v>
      </c>
      <c r="P88" s="150" t="s">
        <v>84</v>
      </c>
      <c r="Q88" s="150" t="s">
        <v>85</v>
      </c>
      <c r="R88" s="123"/>
      <c r="S88" s="123"/>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row>
    <row r="89" spans="1:62" ht="20.100000000000001" customHeight="1">
      <c r="A89" s="122"/>
      <c r="B89" s="14"/>
      <c r="C89" s="152" t="s">
        <v>13</v>
      </c>
      <c r="D89" s="159"/>
      <c r="E89" s="159"/>
      <c r="F89" s="159"/>
      <c r="G89" s="159"/>
      <c r="H89" s="159"/>
      <c r="I89" s="159"/>
      <c r="J89" s="159"/>
      <c r="K89" s="159"/>
      <c r="L89" s="159"/>
      <c r="M89" s="159"/>
      <c r="N89" s="159"/>
      <c r="O89" s="159"/>
      <c r="P89" s="153">
        <f>SUM(Personnel[[#This Row],[Janvier]:[Décembre]])</f>
        <v>0</v>
      </c>
      <c r="Q89" s="138"/>
      <c r="R89" s="123"/>
      <c r="S89" s="123"/>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row>
    <row r="90" spans="1:62" ht="20.100000000000001" customHeight="1">
      <c r="A90" s="122"/>
      <c r="B90" s="14"/>
      <c r="C90" s="152" t="s">
        <v>119</v>
      </c>
      <c r="D90" s="159"/>
      <c r="E90" s="159"/>
      <c r="F90" s="159"/>
      <c r="G90" s="159"/>
      <c r="H90" s="159"/>
      <c r="I90" s="159"/>
      <c r="J90" s="159"/>
      <c r="K90" s="159"/>
      <c r="L90" s="159"/>
      <c r="M90" s="159"/>
      <c r="N90" s="159"/>
      <c r="O90" s="159"/>
      <c r="P90" s="153">
        <f>SUM(Personnel[[#This Row],[Janvier]:[Décembre]])</f>
        <v>0</v>
      </c>
      <c r="Q90" s="138"/>
      <c r="R90" s="123"/>
      <c r="S90" s="123"/>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row>
    <row r="91" spans="1:62" ht="20.100000000000001" customHeight="1">
      <c r="A91" s="122"/>
      <c r="B91" s="14"/>
      <c r="C91" s="152" t="s">
        <v>16</v>
      </c>
      <c r="D91" s="159"/>
      <c r="E91" s="159"/>
      <c r="F91" s="159"/>
      <c r="G91" s="159"/>
      <c r="H91" s="159"/>
      <c r="I91" s="159"/>
      <c r="J91" s="159"/>
      <c r="K91" s="159"/>
      <c r="L91" s="159"/>
      <c r="M91" s="159"/>
      <c r="N91" s="159"/>
      <c r="O91" s="159"/>
      <c r="P91" s="153">
        <f>SUM(Personnel[[#This Row],[Janvier]:[Décembre]])</f>
        <v>0</v>
      </c>
      <c r="Q91" s="138"/>
      <c r="R91" s="123"/>
      <c r="S91" s="123"/>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row>
    <row r="92" spans="1:62" ht="20.100000000000001" customHeight="1">
      <c r="A92" s="122"/>
      <c r="B92" s="14"/>
      <c r="C92" s="152" t="s">
        <v>17</v>
      </c>
      <c r="D92" s="159"/>
      <c r="E92" s="159"/>
      <c r="F92" s="159"/>
      <c r="G92" s="159"/>
      <c r="H92" s="159"/>
      <c r="I92" s="159"/>
      <c r="J92" s="159"/>
      <c r="K92" s="159"/>
      <c r="L92" s="159"/>
      <c r="M92" s="159"/>
      <c r="N92" s="159"/>
      <c r="O92" s="159"/>
      <c r="P92" s="153">
        <f>SUM(Personnel[[#This Row],[Janvier]:[Décembre]])</f>
        <v>0</v>
      </c>
      <c r="Q92" s="138"/>
      <c r="R92" s="123"/>
      <c r="S92" s="123"/>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row>
    <row r="93" spans="1:62" ht="20.100000000000001" customHeight="1">
      <c r="A93" s="122"/>
      <c r="B93" s="14"/>
      <c r="C93" s="152" t="s">
        <v>7</v>
      </c>
      <c r="D93" s="159"/>
      <c r="E93" s="159"/>
      <c r="F93" s="159"/>
      <c r="G93" s="159"/>
      <c r="H93" s="159"/>
      <c r="I93" s="159"/>
      <c r="J93" s="159"/>
      <c r="K93" s="159"/>
      <c r="L93" s="159"/>
      <c r="M93" s="159"/>
      <c r="N93" s="159"/>
      <c r="O93" s="159"/>
      <c r="P93" s="153">
        <f>SUM(Personnel[[#This Row],[Janvier]:[Décembre]])</f>
        <v>0</v>
      </c>
      <c r="Q93" s="138"/>
      <c r="R93" s="123"/>
      <c r="S93" s="123"/>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row>
    <row r="94" spans="1:62" ht="20.100000000000001" customHeight="1" thickBot="1">
      <c r="A94" s="122"/>
      <c r="B94" s="19"/>
      <c r="C94" s="156" t="s">
        <v>86</v>
      </c>
      <c r="D94" s="157">
        <f>SUBTOTAL(109,Personnel[Janvier])</f>
        <v>0</v>
      </c>
      <c r="E94" s="157">
        <f>SUBTOTAL(109,Personnel[Février])</f>
        <v>0</v>
      </c>
      <c r="F94" s="157">
        <f>SUBTOTAL(109,Personnel[Mars])</f>
        <v>0</v>
      </c>
      <c r="G94" s="157">
        <f>SUBTOTAL(109,Personnel[Avril])</f>
        <v>0</v>
      </c>
      <c r="H94" s="157">
        <f>SUBTOTAL(109,Personnel[Mai])</f>
        <v>0</v>
      </c>
      <c r="I94" s="157">
        <f>SUBTOTAL(109,Personnel[Juin])</f>
        <v>0</v>
      </c>
      <c r="J94" s="157">
        <f>SUBTOTAL(109,Personnel[Juillet])</f>
        <v>0</v>
      </c>
      <c r="K94" s="157">
        <f>SUBTOTAL(109,Personnel[Août])</f>
        <v>0</v>
      </c>
      <c r="L94" s="157">
        <f>SUBTOTAL(109,Personnel[Septembre])</f>
        <v>0</v>
      </c>
      <c r="M94" s="157">
        <f>SUBTOTAL(109,Personnel[Octobre])</f>
        <v>0</v>
      </c>
      <c r="N94" s="157">
        <f>SUBTOTAL(109,Personnel[Novembre])</f>
        <v>0</v>
      </c>
      <c r="O94" s="157">
        <f>SUBTOTAL(109,Personnel[Décembre])</f>
        <v>0</v>
      </c>
      <c r="P94" s="157">
        <f>SUBTOTAL(109,Personnel[Année])</f>
        <v>0</v>
      </c>
      <c r="Q94" s="137"/>
      <c r="R94" s="123"/>
      <c r="S94" s="123"/>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row>
    <row r="95" spans="1:62" ht="20.100000000000001" customHeight="1" thickTop="1">
      <c r="A95" s="122"/>
      <c r="B95" s="126"/>
      <c r="C95" s="243"/>
      <c r="D95" s="243"/>
      <c r="E95" s="243"/>
      <c r="F95" s="243"/>
      <c r="G95" s="243"/>
      <c r="H95" s="243"/>
      <c r="I95" s="243"/>
      <c r="J95" s="243"/>
      <c r="K95" s="243"/>
      <c r="L95" s="243"/>
      <c r="M95" s="243"/>
      <c r="N95" s="243"/>
      <c r="O95" s="243"/>
      <c r="P95" s="243"/>
      <c r="Q95" s="243"/>
      <c r="R95" s="123"/>
      <c r="S95" s="123"/>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row>
    <row r="96" spans="1:62" ht="20.100000000000001" customHeight="1">
      <c r="A96" s="122"/>
      <c r="B96" s="14"/>
      <c r="C96" s="158" t="s">
        <v>134</v>
      </c>
      <c r="D96" s="150" t="s">
        <v>72</v>
      </c>
      <c r="E96" s="150" t="s">
        <v>73</v>
      </c>
      <c r="F96" s="150" t="s">
        <v>74</v>
      </c>
      <c r="G96" s="150" t="s">
        <v>75</v>
      </c>
      <c r="H96" s="150" t="s">
        <v>76</v>
      </c>
      <c r="I96" s="150" t="s">
        <v>77</v>
      </c>
      <c r="J96" s="150" t="s">
        <v>78</v>
      </c>
      <c r="K96" s="150" t="s">
        <v>79</v>
      </c>
      <c r="L96" s="150" t="s">
        <v>80</v>
      </c>
      <c r="M96" s="150" t="s">
        <v>81</v>
      </c>
      <c r="N96" s="150" t="s">
        <v>82</v>
      </c>
      <c r="O96" s="150" t="s">
        <v>83</v>
      </c>
      <c r="P96" s="150" t="s">
        <v>84</v>
      </c>
      <c r="Q96" s="150" t="s">
        <v>85</v>
      </c>
      <c r="R96" s="123"/>
      <c r="S96" s="123"/>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row>
    <row r="97" spans="1:62" ht="20.100000000000001" customHeight="1">
      <c r="A97" s="122"/>
      <c r="B97" s="14"/>
      <c r="C97" s="200" t="s">
        <v>51</v>
      </c>
      <c r="D97" s="201"/>
      <c r="E97" s="201"/>
      <c r="F97" s="201"/>
      <c r="G97" s="201"/>
      <c r="H97" s="201"/>
      <c r="I97" s="201"/>
      <c r="J97" s="201"/>
      <c r="K97" s="201"/>
      <c r="L97" s="201"/>
      <c r="M97" s="201"/>
      <c r="N97" s="201"/>
      <c r="O97" s="201"/>
      <c r="P97" s="153">
        <f>SUM(Finances[[#This Row],[Janvier]:[Décembre]])</f>
        <v>0</v>
      </c>
      <c r="Q97" s="138"/>
      <c r="R97" s="123"/>
      <c r="S97" s="123"/>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row>
    <row r="98" spans="1:62" ht="20.100000000000001" customHeight="1">
      <c r="A98" s="122"/>
      <c r="B98" s="14"/>
      <c r="C98" s="178" t="s">
        <v>121</v>
      </c>
      <c r="D98" s="159"/>
      <c r="E98" s="159"/>
      <c r="F98" s="159"/>
      <c r="G98" s="159"/>
      <c r="H98" s="159"/>
      <c r="I98" s="159"/>
      <c r="J98" s="159"/>
      <c r="K98" s="159"/>
      <c r="L98" s="159"/>
      <c r="M98" s="159"/>
      <c r="N98" s="159"/>
      <c r="O98" s="159"/>
      <c r="P98" s="153">
        <f>SUM(Finances[[#This Row],[Janvier]:[Décembre]])</f>
        <v>0</v>
      </c>
      <c r="Q98" s="138"/>
      <c r="R98" s="123"/>
      <c r="S98" s="123"/>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row>
    <row r="99" spans="1:62" ht="20.100000000000001" customHeight="1">
      <c r="A99" s="122"/>
      <c r="B99" s="14"/>
      <c r="C99" s="152" t="s">
        <v>52</v>
      </c>
      <c r="D99" s="159"/>
      <c r="E99" s="159"/>
      <c r="F99" s="159"/>
      <c r="G99" s="159"/>
      <c r="H99" s="159"/>
      <c r="I99" s="159"/>
      <c r="J99" s="159"/>
      <c r="K99" s="159"/>
      <c r="L99" s="159"/>
      <c r="M99" s="159"/>
      <c r="N99" s="159"/>
      <c r="O99" s="159"/>
      <c r="P99" s="153">
        <f>SUM(Finances[[#This Row],[Janvier]:[Décembre]])</f>
        <v>0</v>
      </c>
      <c r="Q99" s="138"/>
      <c r="R99" s="123"/>
      <c r="S99" s="123"/>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row>
    <row r="100" spans="1:62" ht="20.100000000000001" customHeight="1">
      <c r="A100" s="122"/>
      <c r="B100" s="14"/>
      <c r="C100" s="152" t="s">
        <v>7</v>
      </c>
      <c r="D100" s="159"/>
      <c r="E100" s="159"/>
      <c r="F100" s="159"/>
      <c r="G100" s="159"/>
      <c r="H100" s="159"/>
      <c r="I100" s="159"/>
      <c r="J100" s="159"/>
      <c r="K100" s="159"/>
      <c r="L100" s="159"/>
      <c r="M100" s="159"/>
      <c r="N100" s="159"/>
      <c r="O100" s="159"/>
      <c r="P100" s="153">
        <f>SUM(Finances[[#This Row],[Janvier]:[Décembre]])</f>
        <v>0</v>
      </c>
      <c r="Q100" s="138"/>
      <c r="R100" s="123"/>
      <c r="S100" s="123"/>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row>
    <row r="101" spans="1:62" ht="20.100000000000001" customHeight="1" thickBot="1">
      <c r="A101" s="122"/>
      <c r="B101" s="19"/>
      <c r="C101" s="156" t="s">
        <v>86</v>
      </c>
      <c r="D101" s="157">
        <f>SUBTOTAL(109,Finances[Janvier])</f>
        <v>0</v>
      </c>
      <c r="E101" s="157">
        <f>SUBTOTAL(109,Finances[Février])</f>
        <v>0</v>
      </c>
      <c r="F101" s="157">
        <f>SUBTOTAL(109,Finances[Mars])</f>
        <v>0</v>
      </c>
      <c r="G101" s="157">
        <f>SUBTOTAL(109,Finances[Avril])</f>
        <v>0</v>
      </c>
      <c r="H101" s="157">
        <f>SUBTOTAL(109,Finances[Mai])</f>
        <v>0</v>
      </c>
      <c r="I101" s="157">
        <f>SUBTOTAL(109,Finances[Juin])</f>
        <v>0</v>
      </c>
      <c r="J101" s="157">
        <f>SUBTOTAL(109,Finances[Juillet])</f>
        <v>0</v>
      </c>
      <c r="K101" s="157">
        <f>SUBTOTAL(109,Finances[Août])</f>
        <v>0</v>
      </c>
      <c r="L101" s="157">
        <f>SUBTOTAL(109,Finances[Septembre])</f>
        <v>0</v>
      </c>
      <c r="M101" s="157">
        <f>SUBTOTAL(109,Finances[Octobre])</f>
        <v>0</v>
      </c>
      <c r="N101" s="157">
        <f>SUBTOTAL(109,Finances[Novembre])</f>
        <v>0</v>
      </c>
      <c r="O101" s="157">
        <f>SUBTOTAL(109,Finances[Décembre])</f>
        <v>0</v>
      </c>
      <c r="P101" s="157">
        <f>SUBTOTAL(109,Finances[Année])</f>
        <v>0</v>
      </c>
      <c r="Q101" s="137"/>
      <c r="R101" s="123"/>
      <c r="S101" s="123"/>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row>
    <row r="102" spans="1:62" ht="20.100000000000001" customHeight="1" thickTop="1">
      <c r="A102" s="122"/>
      <c r="B102" s="126"/>
      <c r="C102" s="243"/>
      <c r="D102" s="243"/>
      <c r="E102" s="243"/>
      <c r="F102" s="243"/>
      <c r="G102" s="243"/>
      <c r="H102" s="243"/>
      <c r="I102" s="243"/>
      <c r="J102" s="243"/>
      <c r="K102" s="243"/>
      <c r="L102" s="243"/>
      <c r="M102" s="243"/>
      <c r="N102" s="243"/>
      <c r="O102" s="243"/>
      <c r="P102" s="243"/>
      <c r="Q102" s="243"/>
      <c r="R102" s="123"/>
      <c r="S102" s="123"/>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row>
    <row r="103" spans="1:62" ht="20.100000000000001" customHeight="1">
      <c r="A103" s="122"/>
      <c r="B103" s="14"/>
      <c r="C103" s="158" t="s">
        <v>136</v>
      </c>
      <c r="D103" s="150" t="s">
        <v>72</v>
      </c>
      <c r="E103" s="151" t="s">
        <v>73</v>
      </c>
      <c r="F103" s="150" t="s">
        <v>74</v>
      </c>
      <c r="G103" s="151" t="s">
        <v>75</v>
      </c>
      <c r="H103" s="150" t="s">
        <v>76</v>
      </c>
      <c r="I103" s="150" t="s">
        <v>77</v>
      </c>
      <c r="J103" s="150" t="s">
        <v>78</v>
      </c>
      <c r="K103" s="150" t="s">
        <v>79</v>
      </c>
      <c r="L103" s="150" t="s">
        <v>80</v>
      </c>
      <c r="M103" s="150" t="s">
        <v>81</v>
      </c>
      <c r="N103" s="150" t="s">
        <v>82</v>
      </c>
      <c r="O103" s="150" t="s">
        <v>83</v>
      </c>
      <c r="P103" s="150" t="s">
        <v>84</v>
      </c>
      <c r="Q103" s="150" t="s">
        <v>85</v>
      </c>
      <c r="R103" s="123"/>
      <c r="S103" s="123"/>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row>
    <row r="104" spans="1:62" ht="20.100000000000001" customHeight="1">
      <c r="A104" s="122"/>
      <c r="B104" s="14"/>
      <c r="C104" s="152" t="s">
        <v>117</v>
      </c>
      <c r="D104" s="159"/>
      <c r="E104" s="159"/>
      <c r="F104" s="159"/>
      <c r="G104" s="159"/>
      <c r="H104" s="159"/>
      <c r="I104" s="159"/>
      <c r="J104" s="159"/>
      <c r="K104" s="159"/>
      <c r="L104" s="159"/>
      <c r="M104" s="159"/>
      <c r="N104" s="159"/>
      <c r="O104" s="159"/>
      <c r="P104" s="153">
        <f>SUM(Divers29[[#This Row],[Janvier]:[Décembre]])</f>
        <v>0</v>
      </c>
      <c r="Q104" s="138"/>
      <c r="R104" s="123"/>
      <c r="S104" s="123"/>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row>
    <row r="105" spans="1:62" ht="20.100000000000001" customHeight="1">
      <c r="A105" s="122"/>
      <c r="B105" s="14"/>
      <c r="C105" s="152" t="s">
        <v>118</v>
      </c>
      <c r="D105" s="159"/>
      <c r="E105" s="159"/>
      <c r="F105" s="159"/>
      <c r="G105" s="159"/>
      <c r="H105" s="159"/>
      <c r="I105" s="159"/>
      <c r="J105" s="159"/>
      <c r="K105" s="159"/>
      <c r="L105" s="159"/>
      <c r="M105" s="159"/>
      <c r="N105" s="159"/>
      <c r="O105" s="159"/>
      <c r="P105" s="153">
        <f>SUM(Divers29[[#This Row],[Janvier]:[Décembre]])</f>
        <v>0</v>
      </c>
      <c r="Q105" s="138"/>
      <c r="R105" s="123"/>
      <c r="S105" s="123"/>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row>
    <row r="106" spans="1:62" ht="20.100000000000001" customHeight="1">
      <c r="A106" s="122"/>
      <c r="B106" s="14"/>
      <c r="C106" s="152" t="s">
        <v>120</v>
      </c>
      <c r="D106" s="159"/>
      <c r="E106" s="159"/>
      <c r="F106" s="159"/>
      <c r="G106" s="159"/>
      <c r="H106" s="159"/>
      <c r="I106" s="159"/>
      <c r="J106" s="159"/>
      <c r="K106" s="159"/>
      <c r="L106" s="159"/>
      <c r="M106" s="159"/>
      <c r="N106" s="159"/>
      <c r="O106" s="159"/>
      <c r="P106" s="179">
        <f>SUM(Divers29[[#This Row],[Janvier]:[Décembre]])</f>
        <v>0</v>
      </c>
      <c r="Q106" s="138"/>
      <c r="R106" s="123"/>
      <c r="S106" s="123"/>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row>
    <row r="107" spans="1:62" ht="20.100000000000001" customHeight="1">
      <c r="A107" s="122"/>
      <c r="B107" s="14"/>
      <c r="C107" s="152" t="s">
        <v>122</v>
      </c>
      <c r="D107" s="159"/>
      <c r="E107" s="159"/>
      <c r="F107" s="159"/>
      <c r="G107" s="159"/>
      <c r="H107" s="159"/>
      <c r="I107" s="159"/>
      <c r="J107" s="159"/>
      <c r="K107" s="159"/>
      <c r="L107" s="159"/>
      <c r="M107" s="159"/>
      <c r="N107" s="159"/>
      <c r="O107" s="159"/>
      <c r="P107" s="153">
        <f>SUM(Divers29[[#This Row],[Janvier]:[Décembre]])</f>
        <v>0</v>
      </c>
      <c r="Q107" s="138"/>
      <c r="R107" s="123"/>
      <c r="S107" s="123"/>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row>
    <row r="108" spans="1:62" ht="20.100000000000001" customHeight="1">
      <c r="A108" s="122"/>
      <c r="B108" s="14"/>
      <c r="C108" s="152" t="s">
        <v>123</v>
      </c>
      <c r="D108" s="159"/>
      <c r="E108" s="159"/>
      <c r="F108" s="159"/>
      <c r="G108" s="159"/>
      <c r="H108" s="159"/>
      <c r="I108" s="159"/>
      <c r="J108" s="159"/>
      <c r="K108" s="159"/>
      <c r="L108" s="159"/>
      <c r="M108" s="159"/>
      <c r="N108" s="159"/>
      <c r="O108" s="159"/>
      <c r="P108" s="153">
        <f>SUM(Divers29[[#This Row],[Janvier]:[Décembre]])</f>
        <v>0</v>
      </c>
      <c r="Q108" s="138"/>
      <c r="R108" s="123"/>
      <c r="S108" s="123"/>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row>
    <row r="109" spans="1:62" ht="20.100000000000001" customHeight="1">
      <c r="A109" s="122"/>
      <c r="B109" s="14"/>
      <c r="C109" s="180" t="s">
        <v>7</v>
      </c>
      <c r="D109" s="159"/>
      <c r="E109" s="159"/>
      <c r="F109" s="159"/>
      <c r="G109" s="159"/>
      <c r="H109" s="159"/>
      <c r="I109" s="159"/>
      <c r="J109" s="159"/>
      <c r="K109" s="159"/>
      <c r="L109" s="159"/>
      <c r="M109" s="159"/>
      <c r="N109" s="159"/>
      <c r="O109" s="159"/>
      <c r="P109" s="153">
        <f>SUM(Divers29[[#This Row],[Janvier]:[Décembre]])</f>
        <v>0</v>
      </c>
      <c r="Q109" s="138"/>
      <c r="R109" s="123"/>
      <c r="S109" s="123"/>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row>
    <row r="110" spans="1:62" ht="20.100000000000001" customHeight="1" thickBot="1">
      <c r="A110" s="122"/>
      <c r="B110" s="19"/>
      <c r="C110" s="156" t="s">
        <v>86</v>
      </c>
      <c r="D110" s="157">
        <f>SUBTOTAL(109,Divers29[Janvier])</f>
        <v>0</v>
      </c>
      <c r="E110" s="157">
        <f>SUBTOTAL(109,Divers29[Février])</f>
        <v>0</v>
      </c>
      <c r="F110" s="157">
        <f>SUBTOTAL(109,Divers29[Mars])</f>
        <v>0</v>
      </c>
      <c r="G110" s="157">
        <f>SUBTOTAL(109,Divers29[Avril])</f>
        <v>0</v>
      </c>
      <c r="H110" s="157">
        <f>SUBTOTAL(109,Divers29[Mai])</f>
        <v>0</v>
      </c>
      <c r="I110" s="157">
        <f>SUBTOTAL(109,Divers29[Juin])</f>
        <v>0</v>
      </c>
      <c r="J110" s="157">
        <f>SUBTOTAL(109,Divers29[Juillet])</f>
        <v>0</v>
      </c>
      <c r="K110" s="157">
        <f>SUBTOTAL(109,Divers29[Août])</f>
        <v>0</v>
      </c>
      <c r="L110" s="157">
        <f>SUBTOTAL(109,Divers29[Septembre])</f>
        <v>0</v>
      </c>
      <c r="M110" s="157">
        <f>SUBTOTAL(109,Divers29[Octobre])</f>
        <v>0</v>
      </c>
      <c r="N110" s="157">
        <f>SUBTOTAL(109,Divers29[Novembre])</f>
        <v>0</v>
      </c>
      <c r="O110" s="157">
        <f>SUBTOTAL(109,Divers29[Décembre])</f>
        <v>0</v>
      </c>
      <c r="P110" s="157">
        <f>SUBTOTAL(109,Divers29[Année])</f>
        <v>0</v>
      </c>
      <c r="Q110" s="137"/>
      <c r="R110" s="123"/>
      <c r="S110" s="123"/>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row>
    <row r="111" spans="1:62" ht="20.100000000000001" customHeight="1" thickTop="1">
      <c r="A111" s="122"/>
      <c r="B111" s="126"/>
      <c r="C111" s="139"/>
      <c r="D111" s="135"/>
      <c r="E111" s="135"/>
      <c r="F111" s="135"/>
      <c r="G111" s="135"/>
      <c r="H111" s="135"/>
      <c r="I111" s="135"/>
      <c r="J111" s="135"/>
      <c r="K111" s="135"/>
      <c r="L111" s="135"/>
      <c r="M111" s="135"/>
      <c r="N111" s="135"/>
      <c r="O111" s="135"/>
      <c r="P111" s="135"/>
      <c r="Q111" s="140"/>
      <c r="R111" s="123"/>
      <c r="S111" s="123"/>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row>
    <row r="112" spans="1:62" ht="20.100000000000001" customHeight="1">
      <c r="A112" s="122"/>
      <c r="B112" s="14"/>
      <c r="C112" s="158" t="s">
        <v>137</v>
      </c>
      <c r="D112" s="150" t="s">
        <v>72</v>
      </c>
      <c r="E112" s="151" t="s">
        <v>73</v>
      </c>
      <c r="F112" s="150" t="s">
        <v>74</v>
      </c>
      <c r="G112" s="151" t="s">
        <v>75</v>
      </c>
      <c r="H112" s="150" t="s">
        <v>76</v>
      </c>
      <c r="I112" s="150" t="s">
        <v>77</v>
      </c>
      <c r="J112" s="150" t="s">
        <v>78</v>
      </c>
      <c r="K112" s="150" t="s">
        <v>79</v>
      </c>
      <c r="L112" s="150" t="s">
        <v>80</v>
      </c>
      <c r="M112" s="150" t="s">
        <v>81</v>
      </c>
      <c r="N112" s="150" t="s">
        <v>82</v>
      </c>
      <c r="O112" s="150" t="s">
        <v>83</v>
      </c>
      <c r="P112" s="150" t="s">
        <v>84</v>
      </c>
      <c r="Q112" s="150" t="s">
        <v>85</v>
      </c>
      <c r="R112" s="123"/>
      <c r="S112" s="123"/>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row>
    <row r="113" spans="1:62" ht="20.100000000000001" customHeight="1">
      <c r="A113" s="122"/>
      <c r="B113" s="14"/>
      <c r="C113" s="152" t="s">
        <v>23</v>
      </c>
      <c r="D113" s="159"/>
      <c r="E113" s="159"/>
      <c r="F113" s="159"/>
      <c r="G113" s="159"/>
      <c r="H113" s="159"/>
      <c r="I113" s="159"/>
      <c r="J113" s="159"/>
      <c r="K113" s="159"/>
      <c r="L113" s="159"/>
      <c r="M113" s="159"/>
      <c r="N113" s="159"/>
      <c r="O113" s="159"/>
      <c r="P113" s="153">
        <f>SUM(Divers[[#This Row],[Janvier]:[Décembre]])</f>
        <v>0</v>
      </c>
      <c r="Q113" s="154"/>
      <c r="R113" s="123"/>
      <c r="S113" s="123"/>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row>
    <row r="114" spans="1:62" ht="20.100000000000001" customHeight="1">
      <c r="A114" s="122"/>
      <c r="B114" s="14"/>
      <c r="C114" s="152" t="s">
        <v>89</v>
      </c>
      <c r="D114" s="159"/>
      <c r="E114" s="159"/>
      <c r="F114" s="159"/>
      <c r="G114" s="159"/>
      <c r="H114" s="159"/>
      <c r="I114" s="159"/>
      <c r="J114" s="159"/>
      <c r="K114" s="159"/>
      <c r="L114" s="159"/>
      <c r="M114" s="159"/>
      <c r="N114" s="159"/>
      <c r="O114" s="159"/>
      <c r="P114" s="153">
        <f>SUM(Divers[[#This Row],[Janvier]:[Décembre]])</f>
        <v>0</v>
      </c>
      <c r="Q114" s="154"/>
      <c r="R114" s="123"/>
      <c r="S114" s="123"/>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row>
    <row r="115" spans="1:62" ht="20.100000000000001" customHeight="1">
      <c r="A115" s="122"/>
      <c r="B115" s="14"/>
      <c r="C115" s="152" t="s">
        <v>91</v>
      </c>
      <c r="D115" s="159"/>
      <c r="E115" s="159"/>
      <c r="F115" s="159"/>
      <c r="G115" s="159"/>
      <c r="H115" s="159"/>
      <c r="I115" s="159"/>
      <c r="J115" s="159"/>
      <c r="K115" s="159"/>
      <c r="L115" s="159"/>
      <c r="M115" s="159"/>
      <c r="N115" s="159"/>
      <c r="O115" s="159"/>
      <c r="P115" s="153">
        <f>SUM(Divers[[#This Row],[Janvier]:[Décembre]])</f>
        <v>0</v>
      </c>
      <c r="Q115" s="154"/>
      <c r="R115" s="123"/>
      <c r="S115" s="123"/>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row>
    <row r="116" spans="1:62" ht="20.100000000000001" customHeight="1">
      <c r="A116" s="122"/>
      <c r="B116" s="14"/>
      <c r="C116" s="152" t="s">
        <v>90</v>
      </c>
      <c r="D116" s="159"/>
      <c r="E116" s="159"/>
      <c r="F116" s="159"/>
      <c r="G116" s="159"/>
      <c r="H116" s="159"/>
      <c r="I116" s="159"/>
      <c r="J116" s="159"/>
      <c r="K116" s="159"/>
      <c r="L116" s="159"/>
      <c r="M116" s="159"/>
      <c r="N116" s="159"/>
      <c r="O116" s="159"/>
      <c r="P116" s="153">
        <f>SUM(Divers[[#This Row],[Janvier]:[Décembre]])</f>
        <v>0</v>
      </c>
      <c r="Q116" s="154"/>
      <c r="R116" s="123"/>
      <c r="S116" s="123"/>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row>
    <row r="117" spans="1:62" ht="20.100000000000001" customHeight="1">
      <c r="A117" s="122"/>
      <c r="B117" s="14"/>
      <c r="C117" s="152" t="s">
        <v>7</v>
      </c>
      <c r="D117" s="159"/>
      <c r="E117" s="159"/>
      <c r="F117" s="159"/>
      <c r="G117" s="159"/>
      <c r="H117" s="159"/>
      <c r="I117" s="159"/>
      <c r="J117" s="159"/>
      <c r="K117" s="159"/>
      <c r="L117" s="159"/>
      <c r="M117" s="159"/>
      <c r="N117" s="159"/>
      <c r="O117" s="159"/>
      <c r="P117" s="153">
        <f>SUM(Divers[[#This Row],[Janvier]:[Décembre]])</f>
        <v>0</v>
      </c>
      <c r="Q117" s="154"/>
      <c r="R117" s="123"/>
      <c r="S117" s="123"/>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row>
    <row r="118" spans="1:62" ht="20.100000000000001" customHeight="1" thickBot="1">
      <c r="A118" s="122"/>
      <c r="B118" s="19"/>
      <c r="C118" s="156" t="s">
        <v>86</v>
      </c>
      <c r="D118" s="157">
        <f>SUBTOTAL(109,Divers[Janvier])</f>
        <v>0</v>
      </c>
      <c r="E118" s="157">
        <f>SUBTOTAL(109,Divers[Février])</f>
        <v>0</v>
      </c>
      <c r="F118" s="157">
        <f>SUBTOTAL(109,Divers[Mars])</f>
        <v>0</v>
      </c>
      <c r="G118" s="157">
        <f>SUBTOTAL(109,Divers[Avril])</f>
        <v>0</v>
      </c>
      <c r="H118" s="157">
        <f>SUBTOTAL(109,Divers[Mai])</f>
        <v>0</v>
      </c>
      <c r="I118" s="157">
        <f>SUBTOTAL(109,Divers[Juin])</f>
        <v>0</v>
      </c>
      <c r="J118" s="157">
        <f>SUBTOTAL(109,Divers[Juillet])</f>
        <v>0</v>
      </c>
      <c r="K118" s="157">
        <f>SUBTOTAL(109,Divers[Août])</f>
        <v>0</v>
      </c>
      <c r="L118" s="157">
        <f>SUBTOTAL(109,Divers[Septembre])</f>
        <v>0</v>
      </c>
      <c r="M118" s="157">
        <f>SUBTOTAL(109,Divers[Octobre])</f>
        <v>0</v>
      </c>
      <c r="N118" s="157">
        <f>SUBTOTAL(109,Divers[Novembre])</f>
        <v>0</v>
      </c>
      <c r="O118" s="157">
        <f>SUBTOTAL(109,Divers[Décembre])</f>
        <v>0</v>
      </c>
      <c r="P118" s="157">
        <f>SUBTOTAL(109,Divers[Année])</f>
        <v>0</v>
      </c>
      <c r="Q118" s="155"/>
      <c r="R118" s="123"/>
      <c r="S118" s="123"/>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row>
    <row r="119" spans="1:62" ht="20.100000000000001" customHeight="1" thickTop="1">
      <c r="A119" s="122"/>
      <c r="B119" s="123"/>
      <c r="C119" s="243"/>
      <c r="D119" s="243"/>
      <c r="E119" s="243"/>
      <c r="F119" s="243"/>
      <c r="G119" s="243"/>
      <c r="H119" s="243"/>
      <c r="I119" s="243"/>
      <c r="J119" s="243"/>
      <c r="K119" s="243"/>
      <c r="L119" s="243"/>
      <c r="M119" s="243"/>
      <c r="N119" s="243"/>
      <c r="O119" s="243"/>
      <c r="P119" s="243"/>
      <c r="Q119" s="243"/>
      <c r="R119" s="123"/>
      <c r="S119" s="123"/>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row>
    <row r="120" spans="1:62" ht="20.100000000000001" customHeight="1">
      <c r="A120" s="122"/>
      <c r="B120" s="123"/>
      <c r="C120" s="143" t="s">
        <v>96</v>
      </c>
      <c r="D120" s="144" t="s">
        <v>58</v>
      </c>
      <c r="E120" s="144" t="s">
        <v>59</v>
      </c>
      <c r="F120" s="144" t="s">
        <v>60</v>
      </c>
      <c r="G120" s="144" t="s">
        <v>61</v>
      </c>
      <c r="H120" s="144" t="s">
        <v>62</v>
      </c>
      <c r="I120" s="144" t="s">
        <v>63</v>
      </c>
      <c r="J120" s="144" t="s">
        <v>64</v>
      </c>
      <c r="K120" s="144" t="s">
        <v>65</v>
      </c>
      <c r="L120" s="144" t="s">
        <v>66</v>
      </c>
      <c r="M120" s="144" t="s">
        <v>67</v>
      </c>
      <c r="N120" s="144" t="s">
        <v>68</v>
      </c>
      <c r="O120" s="144" t="s">
        <v>69</v>
      </c>
      <c r="P120" s="144" t="s">
        <v>70</v>
      </c>
      <c r="Q120" s="149" t="s">
        <v>97</v>
      </c>
      <c r="R120" s="123"/>
      <c r="S120" s="123"/>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row>
    <row r="121" spans="1:62" ht="20.100000000000001" customHeight="1">
      <c r="A121" s="122"/>
      <c r="B121" s="123"/>
      <c r="C121" s="145" t="s">
        <v>98</v>
      </c>
      <c r="D121" s="146">
        <f>SUM(Divers[[#Totals],[Janvier]],Finances[[#Totals],[Janvier]],Personnel[[#Totals],[Janvier]],CotisationsEtAbonnements[[#Totals],[Janvier]],Détente[[#Totals],[Janvier]],Vacances[[#Totals],[Janvier]],Santé[[#Totals],[Janvier]],Loisirs18[[#Totals],[Janvier]],Transports[[#Totals],[Janvier]],Quotidien[[#Totals],[Janvier]],Foyer[[#Totals],[Janvier]])+Divers29[[#Totals],[Janvier]]</f>
        <v>0</v>
      </c>
      <c r="E121" s="146">
        <f>SUM(Divers[[#Totals],[Février]],Finances[[#Totals],[Février]],Personnel[[#Totals],[Février]],CotisationsEtAbonnements[[#Totals],[Février]],Détente[[#Totals],[Février]],Vacances[[#Totals],[Février]],Santé[[#Totals],[Février]],Loisirs18[[#Totals],[Février]],Transports[[#Totals],[Février]],Quotidien[[#Totals],[Février]],Foyer[[#Totals],[Février]])+Divers29[[#Totals],[Février]]</f>
        <v>0</v>
      </c>
      <c r="F121" s="146">
        <f>SUM(Divers[[#Totals],[Mars]],Finances[[#Totals],[Mars]],Personnel[[#Totals],[Mars]],CotisationsEtAbonnements[[#Totals],[Mars]],Détente[[#Totals],[Mars]],Vacances[[#Totals],[Mars]],Santé[[#Totals],[Mars]],Loisirs18[[#Totals],[Mars]],Transports[[#Totals],[Mars]],Quotidien[[#Totals],[Mars]],Foyer[[#Totals],[Mars]])+Divers29[[#Totals],[Mars]]</f>
        <v>0</v>
      </c>
      <c r="G121" s="146">
        <f>SUM(Divers[[#Totals],[Avril]],Finances[[#Totals],[Avril]],Personnel[[#Totals],[Avril]],CotisationsEtAbonnements[[#Totals],[Avril]],Détente[[#Totals],[Avril]],Vacances[[#Totals],[Avril]],Santé[[#Totals],[Avril]],Loisirs18[[#Totals],[Avril]],Transports[[#Totals],[Avril]],Quotidien[[#Totals],[Avril]],Foyer[[#Totals],[Avril]])+Divers29[[#Totals],[Avril]]</f>
        <v>0</v>
      </c>
      <c r="H121" s="146">
        <f>SUM(Divers[[#Totals],[Mai]],Finances[[#Totals],[Mai]],Personnel[[#Totals],[Mai]],CotisationsEtAbonnements[[#Totals],[Mai]],Détente[[#Totals],[Mai]],Vacances[[#Totals],[Mai]],Santé[[#Totals],[Mai]],Loisirs18[[#Totals],[Mai]],Transports[[#Totals],[Mai]],Quotidien[[#Totals],[Mai]],Foyer[[#Totals],[Mai]])+Divers29[[#Totals],[Mai]]</f>
        <v>0</v>
      </c>
      <c r="I121" s="146">
        <f>SUM(Divers[[#Totals],[Juin]],Finances[[#Totals],[Juin]],Personnel[[#Totals],[Juin]],CotisationsEtAbonnements[[#Totals],[Juin]],Détente[[#Totals],[Juin]],Vacances[[#Totals],[Juin]],Santé[[#Totals],[Juin]],Loisirs18[[#Totals],[Juin]],Transports[[#Totals],[Juin]],Quotidien[[#Totals],[Juin]],Foyer[[#Totals],[Juin]])+Divers29[[#Totals],[Juin]]</f>
        <v>0</v>
      </c>
      <c r="J121" s="146">
        <f>SUM(Divers[[#Totals],[Juillet]],Finances[[#Totals],[Juillet]],Personnel[[#Totals],[Juillet]],CotisationsEtAbonnements[[#Totals],[Juillet]],Détente[[#Totals],[Juillet]],Vacances[[#Totals],[Juillet]],Santé[[#Totals],[Juillet]],Loisirs18[[#Totals],[Juillet]],Transports[[#Totals],[Juillet]],Quotidien[[#Totals],[Juillet]],Foyer[[#Totals],[Juillet]])+Divers29[[#Totals],[Juillet]]</f>
        <v>0</v>
      </c>
      <c r="K121" s="146">
        <f>SUM(Divers[[#Totals],[Août]],Finances[[#Totals],[Août]],Personnel[[#Totals],[Août]],CotisationsEtAbonnements[[#Totals],[Août]],Détente[[#Totals],[Août]],Vacances[[#Totals],[Août]],Santé[[#Totals],[Août]],Loisirs18[[#Totals],[Août]],Transports[[#Totals],[Août]],Quotidien[[#Totals],[Août]],Foyer[[#Totals],[Août]])+Divers29[[#Totals],[Août]]</f>
        <v>0</v>
      </c>
      <c r="L121" s="146">
        <f>SUM(Divers[[#Totals],[Septembre]],Finances[[#Totals],[Septembre]],Personnel[[#Totals],[Septembre]],CotisationsEtAbonnements[[#Totals],[Septembre]],Détente[[#Totals],[Septembre]],Vacances[[#Totals],[Septembre]],Santé[[#Totals],[Septembre]],Loisirs18[[#Totals],[Septembre]],Transports[[#Totals],[Septembre]],Quotidien[[#Totals],[Septembre]],Foyer[[#Totals],[Septembre]])+Divers29[[#Totals],[Septembre]]</f>
        <v>0</v>
      </c>
      <c r="M121" s="146">
        <f>SUM(Divers[[#Totals],[Octobre]],Finances[[#Totals],[Octobre]],Personnel[[#Totals],[Octobre]],CotisationsEtAbonnements[[#Totals],[Octobre]],Détente[[#Totals],[Octobre]],Vacances[[#Totals],[Octobre]],Santé[[#Totals],[Octobre]],Loisirs18[[#Totals],[Octobre]],Transports[[#Totals],[Octobre]],Quotidien[[#Totals],[Octobre]],Foyer[[#Totals],[Octobre]])+Divers29[[#Totals],[Octobre]]</f>
        <v>0</v>
      </c>
      <c r="N121" s="146">
        <f>SUM(Divers[[#Totals],[Novembre]],Finances[[#Totals],[Novembre]],Personnel[[#Totals],[Novembre]],CotisationsEtAbonnements[[#Totals],[Novembre]],Détente[[#Totals],[Novembre]],Vacances[[#Totals],[Novembre]],Santé[[#Totals],[Novembre]],Loisirs18[[#Totals],[Novembre]],Transports[[#Totals],[Novembre]],Quotidien[[#Totals],[Novembre]],Foyer[[#Totals],[Novembre]])+Divers29[[#Totals],[Novembre]]</f>
        <v>0</v>
      </c>
      <c r="O121" s="146">
        <f>SUM(Divers[[#Totals],[Décembre]],Finances[[#Totals],[Décembre]],Personnel[[#Totals],[Décembre]],CotisationsEtAbonnements[[#Totals],[Décembre]],Détente[[#Totals],[Décembre]],Vacances[[#Totals],[Décembre]],Santé[[#Totals],[Décembre]],Loisirs18[[#Totals],[Décembre]],Transports[[#Totals],[Décembre]],Quotidien[[#Totals],[Décembre]],Foyer[[#Totals],[Décembre]])+Divers29[[#Totals],[Décembre]]</f>
        <v>0</v>
      </c>
      <c r="P121" s="146">
        <f>SUM(Divers[[#Totals],[Année]],Finances[[#Totals],[Année]],Personnel[[#Totals],[Année]],CotisationsEtAbonnements[[#Totals],[Année]],Détente[[#Totals],[Année]],Vacances[[#Totals],[Année]],Santé[[#Totals],[Année]],Loisirs18[[#Totals],[Année]],Transports[[#Totals],[Année]],Quotidien[[#Totals],[Année]],Foyer[[#Totals],[Année]])+Divers29[[#Totals],[Année]]</f>
        <v>0</v>
      </c>
      <c r="Q121" s="141"/>
      <c r="R121" s="123"/>
      <c r="S121" s="123"/>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row>
    <row r="122" spans="1:62" ht="20.100000000000001" customHeight="1">
      <c r="A122" s="122"/>
      <c r="B122" s="123"/>
      <c r="C122" s="147" t="s">
        <v>99</v>
      </c>
      <c r="D122" s="148">
        <f>Revenus[[#Totals],[Janvier]]-D121</f>
        <v>0</v>
      </c>
      <c r="E122" s="148">
        <f>Revenus[[#Totals],[Février]]-E121</f>
        <v>0</v>
      </c>
      <c r="F122" s="148">
        <f>Revenus[[#Totals],[Mars]]-F121</f>
        <v>0</v>
      </c>
      <c r="G122" s="148">
        <f>Revenus[[#Totals],[Avril]]-G121</f>
        <v>0</v>
      </c>
      <c r="H122" s="148">
        <f>Revenus[[#Totals],[Mai]]-H121</f>
        <v>0</v>
      </c>
      <c r="I122" s="148">
        <f>Revenus[[#Totals],[Juin]]-I121</f>
        <v>0</v>
      </c>
      <c r="J122" s="148">
        <f>Revenus[[#Totals],[Juillet]]-J121</f>
        <v>0</v>
      </c>
      <c r="K122" s="148">
        <f>Revenus[[#Totals],[Août]]-K121</f>
        <v>0</v>
      </c>
      <c r="L122" s="148">
        <f>Revenus[[#Totals],[Septembre]]-L121</f>
        <v>0</v>
      </c>
      <c r="M122" s="148">
        <f>Revenus[[#Totals],[Octobre]]-M121</f>
        <v>0</v>
      </c>
      <c r="N122" s="148">
        <f>Revenus[[#Totals],[Novembre]]-N121</f>
        <v>0</v>
      </c>
      <c r="O122" s="148">
        <f>Revenus[[#Totals],[Décembre]]-O121</f>
        <v>0</v>
      </c>
      <c r="P122" s="148">
        <f>Revenus[[#Totals],[Année]]-P121</f>
        <v>0</v>
      </c>
      <c r="Q122" s="141"/>
      <c r="R122" s="123"/>
      <c r="S122" s="123"/>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row>
    <row r="123" spans="1:62" ht="20.100000000000001" customHeight="1">
      <c r="A123" s="122"/>
      <c r="B123" s="123"/>
      <c r="C123" s="142"/>
      <c r="D123" s="142"/>
      <c r="E123" s="142"/>
      <c r="F123" s="142"/>
      <c r="G123" s="142"/>
      <c r="H123" s="142"/>
      <c r="I123" s="142"/>
      <c r="J123" s="142"/>
      <c r="K123" s="142"/>
      <c r="L123" s="142"/>
      <c r="M123" s="142"/>
      <c r="N123" s="142"/>
      <c r="O123" s="142"/>
      <c r="P123" s="142"/>
      <c r="Q123" s="142"/>
      <c r="R123" s="123"/>
      <c r="S123" s="123"/>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row>
    <row r="124" spans="1:62" s="21" customFormat="1" ht="20.100000000000001" customHeight="1">
      <c r="A124" s="20"/>
      <c r="D124" s="22"/>
      <c r="E124" s="22"/>
      <c r="F124" s="22"/>
      <c r="G124" s="22"/>
      <c r="H124" s="22"/>
      <c r="I124" s="22"/>
      <c r="J124" s="22"/>
      <c r="K124" s="22"/>
      <c r="L124" s="22"/>
      <c r="M124" s="22"/>
      <c r="N124" s="22"/>
      <c r="O124" s="22"/>
      <c r="P124" s="22"/>
    </row>
    <row r="125" spans="1:62" s="21" customFormat="1" ht="20.100000000000001" customHeight="1">
      <c r="A125" s="20"/>
      <c r="D125" s="22"/>
      <c r="E125" s="22"/>
      <c r="F125" s="22"/>
      <c r="G125" s="22"/>
      <c r="H125" s="22"/>
      <c r="I125" s="22"/>
      <c r="J125" s="22"/>
      <c r="K125" s="22"/>
      <c r="L125" s="22"/>
      <c r="M125" s="22"/>
      <c r="N125" s="22"/>
      <c r="O125" s="22"/>
      <c r="P125" s="22"/>
    </row>
    <row r="126" spans="1:62" s="21" customFormat="1" ht="30" customHeight="1">
      <c r="A126" s="20"/>
      <c r="D126" s="22"/>
      <c r="E126" s="22"/>
      <c r="F126" s="22"/>
      <c r="G126" s="22"/>
      <c r="H126" s="22"/>
      <c r="I126" s="22"/>
      <c r="J126" s="22"/>
      <c r="K126" s="22"/>
      <c r="L126" s="22"/>
      <c r="M126" s="22"/>
      <c r="N126" s="22"/>
      <c r="O126" s="22"/>
      <c r="P126" s="22"/>
    </row>
    <row r="127" spans="1:62" s="21" customFormat="1" ht="30" customHeight="1">
      <c r="A127" s="20"/>
      <c r="D127" s="22"/>
      <c r="E127" s="22"/>
      <c r="F127" s="22"/>
      <c r="G127" s="22"/>
      <c r="H127" s="22"/>
      <c r="I127" s="22"/>
      <c r="J127" s="22"/>
      <c r="K127" s="22"/>
      <c r="L127" s="22"/>
      <c r="M127" s="22"/>
      <c r="N127" s="22"/>
      <c r="O127" s="22"/>
      <c r="P127" s="22"/>
    </row>
    <row r="128" spans="1:62" s="21" customFormat="1" ht="30" customHeight="1">
      <c r="A128" s="20"/>
      <c r="D128" s="22"/>
      <c r="E128" s="22"/>
      <c r="F128" s="22"/>
      <c r="G128" s="22"/>
      <c r="H128" s="22"/>
      <c r="I128" s="22"/>
      <c r="J128" s="22"/>
      <c r="K128" s="22"/>
      <c r="L128" s="22"/>
      <c r="M128" s="22"/>
      <c r="N128" s="22"/>
      <c r="O128" s="22"/>
      <c r="P128" s="22"/>
    </row>
    <row r="129" spans="1:16" s="21" customFormat="1" ht="30" customHeight="1">
      <c r="A129" s="20"/>
      <c r="D129" s="22"/>
      <c r="E129" s="22"/>
      <c r="F129" s="22"/>
      <c r="G129" s="22"/>
      <c r="H129" s="22"/>
      <c r="I129" s="22"/>
      <c r="J129" s="22"/>
      <c r="K129" s="22"/>
      <c r="L129" s="22"/>
      <c r="M129" s="22"/>
      <c r="N129" s="22"/>
      <c r="O129" s="22"/>
      <c r="P129" s="22"/>
    </row>
    <row r="130" spans="1:16" s="21" customFormat="1" ht="30" customHeight="1">
      <c r="A130" s="20"/>
      <c r="D130" s="22"/>
      <c r="E130" s="22"/>
      <c r="F130" s="22"/>
      <c r="G130" s="22"/>
      <c r="H130" s="22"/>
      <c r="I130" s="22"/>
      <c r="J130" s="22"/>
      <c r="K130" s="22"/>
      <c r="L130" s="22"/>
      <c r="M130" s="22"/>
      <c r="N130" s="22"/>
      <c r="O130" s="22"/>
      <c r="P130" s="22"/>
    </row>
    <row r="131" spans="1:16" s="21" customFormat="1" ht="30" customHeight="1">
      <c r="A131" s="20"/>
      <c r="D131" s="22"/>
      <c r="E131" s="22"/>
      <c r="F131" s="22"/>
      <c r="G131" s="22"/>
      <c r="H131" s="22"/>
      <c r="I131" s="22"/>
      <c r="J131" s="22"/>
      <c r="K131" s="22"/>
      <c r="L131" s="22"/>
      <c r="M131" s="22"/>
      <c r="N131" s="22"/>
      <c r="O131" s="22"/>
      <c r="P131" s="22"/>
    </row>
    <row r="132" spans="1:16" s="21" customFormat="1" ht="30" customHeight="1">
      <c r="A132" s="20"/>
      <c r="D132" s="22"/>
      <c r="E132" s="22"/>
      <c r="F132" s="22"/>
      <c r="G132" s="22"/>
      <c r="H132" s="22"/>
      <c r="I132" s="22"/>
      <c r="J132" s="22"/>
      <c r="K132" s="22"/>
      <c r="L132" s="22"/>
      <c r="M132" s="22"/>
      <c r="N132" s="22"/>
      <c r="O132" s="22"/>
      <c r="P132" s="22"/>
    </row>
    <row r="133" spans="1:16" s="21" customFormat="1" ht="30" customHeight="1">
      <c r="A133" s="20"/>
      <c r="D133" s="22"/>
      <c r="E133" s="22"/>
      <c r="F133" s="22"/>
      <c r="G133" s="22"/>
      <c r="H133" s="22"/>
      <c r="I133" s="22"/>
      <c r="J133" s="22"/>
      <c r="K133" s="22"/>
      <c r="L133" s="22"/>
      <c r="M133" s="22"/>
      <c r="N133" s="22"/>
      <c r="O133" s="22"/>
      <c r="P133" s="22"/>
    </row>
    <row r="134" spans="1:16" s="21" customFormat="1" ht="30" customHeight="1">
      <c r="A134" s="20"/>
      <c r="D134" s="22"/>
      <c r="E134" s="22"/>
      <c r="F134" s="22"/>
      <c r="G134" s="22"/>
      <c r="H134" s="22"/>
      <c r="I134" s="22"/>
      <c r="J134" s="22"/>
      <c r="K134" s="22"/>
      <c r="L134" s="22"/>
      <c r="M134" s="22"/>
      <c r="N134" s="22"/>
      <c r="O134" s="22"/>
      <c r="P134" s="22"/>
    </row>
    <row r="135" spans="1:16" s="21" customFormat="1" ht="30" customHeight="1">
      <c r="A135" s="20"/>
      <c r="D135" s="22"/>
      <c r="E135" s="22"/>
      <c r="F135" s="22"/>
      <c r="G135" s="22"/>
      <c r="H135" s="22"/>
      <c r="I135" s="22"/>
      <c r="J135" s="22"/>
      <c r="K135" s="22"/>
      <c r="L135" s="22"/>
      <c r="M135" s="22"/>
      <c r="N135" s="22"/>
      <c r="O135" s="22"/>
      <c r="P135" s="22"/>
    </row>
    <row r="136" spans="1:16" s="21" customFormat="1" ht="30" customHeight="1">
      <c r="A136" s="20"/>
      <c r="D136" s="22"/>
      <c r="E136" s="22"/>
      <c r="F136" s="22"/>
      <c r="G136" s="22"/>
      <c r="H136" s="22"/>
      <c r="I136" s="22"/>
      <c r="J136" s="22"/>
      <c r="K136" s="22"/>
      <c r="L136" s="22"/>
      <c r="M136" s="22"/>
      <c r="N136" s="22"/>
      <c r="O136" s="22"/>
      <c r="P136" s="22"/>
    </row>
    <row r="137" spans="1:16" s="21" customFormat="1" ht="30" customHeight="1">
      <c r="A137" s="20"/>
      <c r="D137" s="22"/>
      <c r="E137" s="22"/>
      <c r="F137" s="22"/>
      <c r="G137" s="22"/>
      <c r="H137" s="22"/>
      <c r="I137" s="22"/>
      <c r="J137" s="22"/>
      <c r="K137" s="22"/>
      <c r="L137" s="22"/>
      <c r="M137" s="22"/>
      <c r="N137" s="22"/>
      <c r="O137" s="22"/>
      <c r="P137" s="22"/>
    </row>
    <row r="138" spans="1:16" s="21" customFormat="1" ht="30" customHeight="1">
      <c r="A138" s="20"/>
      <c r="D138" s="22"/>
      <c r="E138" s="22"/>
      <c r="F138" s="22"/>
      <c r="G138" s="22"/>
      <c r="H138" s="22"/>
      <c r="I138" s="22"/>
      <c r="J138" s="22"/>
      <c r="K138" s="22"/>
      <c r="L138" s="22"/>
      <c r="M138" s="22"/>
      <c r="N138" s="22"/>
      <c r="O138" s="22"/>
      <c r="P138" s="22"/>
    </row>
    <row r="139" spans="1:16" s="21" customFormat="1" ht="30" customHeight="1">
      <c r="A139" s="20"/>
      <c r="D139" s="22"/>
      <c r="E139" s="22"/>
      <c r="F139" s="22"/>
      <c r="G139" s="22"/>
      <c r="H139" s="22"/>
      <c r="I139" s="22"/>
      <c r="J139" s="22"/>
      <c r="K139" s="22"/>
      <c r="L139" s="22"/>
      <c r="M139" s="22"/>
      <c r="N139" s="22"/>
      <c r="O139" s="22"/>
      <c r="P139" s="22"/>
    </row>
    <row r="140" spans="1:16" s="21" customFormat="1" ht="30" customHeight="1">
      <c r="A140" s="20"/>
      <c r="D140" s="22"/>
      <c r="E140" s="22"/>
      <c r="F140" s="22"/>
      <c r="G140" s="22"/>
      <c r="H140" s="22"/>
      <c r="I140" s="22"/>
      <c r="J140" s="22"/>
      <c r="K140" s="22"/>
      <c r="L140" s="22"/>
      <c r="M140" s="22"/>
      <c r="N140" s="22"/>
      <c r="O140" s="22"/>
      <c r="P140" s="22"/>
    </row>
    <row r="141" spans="1:16" s="21" customFormat="1" ht="30" customHeight="1">
      <c r="A141" s="20"/>
      <c r="D141" s="22"/>
      <c r="E141" s="22"/>
      <c r="F141" s="22"/>
      <c r="G141" s="22"/>
      <c r="H141" s="22"/>
      <c r="I141" s="22"/>
      <c r="J141" s="22"/>
      <c r="K141" s="22"/>
      <c r="L141" s="22"/>
      <c r="M141" s="22"/>
      <c r="N141" s="22"/>
      <c r="O141" s="22"/>
      <c r="P141" s="22"/>
    </row>
    <row r="142" spans="1:16" s="21" customFormat="1" ht="30" customHeight="1">
      <c r="A142" s="20"/>
      <c r="D142" s="22"/>
      <c r="E142" s="22"/>
      <c r="F142" s="22"/>
      <c r="G142" s="22"/>
      <c r="H142" s="22"/>
      <c r="I142" s="22"/>
      <c r="J142" s="22"/>
      <c r="K142" s="22"/>
      <c r="L142" s="22"/>
      <c r="M142" s="22"/>
      <c r="N142" s="22"/>
      <c r="O142" s="22"/>
      <c r="P142" s="22"/>
    </row>
  </sheetData>
  <sheetProtection algorithmName="SHA-512" hashValue="IEL1bWaYj/Hqvhs4VZLJ6rZ0QQ6bT6x16igDRWkbrAmymqAPtbfNzBzqNFwSj/EyNC29MGB+Wo+HuGE8U18diw==" saltValue="OKpclCWuHoXaEsjwlt/Dqg==" spinCount="100000" sheet="1" objects="1" scenarios="1" selectLockedCells="1"/>
  <mergeCells count="12">
    <mergeCell ref="C95:Q95"/>
    <mergeCell ref="C102:Q102"/>
    <mergeCell ref="C119:Q119"/>
    <mergeCell ref="C37:Q37"/>
    <mergeCell ref="C48:Q48"/>
    <mergeCell ref="C57:Q57"/>
    <mergeCell ref="C65:Q65"/>
    <mergeCell ref="B2:G4"/>
    <mergeCell ref="H2:I4"/>
    <mergeCell ref="C73:Q73"/>
    <mergeCell ref="C79:Q79"/>
    <mergeCell ref="C87:Q87"/>
  </mergeCells>
  <phoneticPr fontId="24" type="noConversion"/>
  <conditionalFormatting sqref="D122:P122">
    <cfRule type="cellIs" dxfId="421" priority="1" operator="lessThan">
      <formula>0</formula>
    </cfRule>
  </conditionalFormatting>
  <dataValidations count="1">
    <dataValidation allowBlank="1" showInputMessage="1" showErrorMessage="1" promptTitle="Guide" prompt="Remplir au début de chaque mois, l'ensemble des recettes et dépenses effectués lors du mois précédent._x000a__x000a_NB. Seules les cases éclaircies sont modifiables._x000a_" sqref="B2:G4" xr:uid="{426641B0-64E1-4768-8BDD-BFDA87D294BA}"/>
  </dataValidations>
  <printOptions horizontalCentered="1"/>
  <pageMargins left="0.4" right="0.4" top="0.4" bottom="0.4" header="0.3" footer="0.3"/>
  <pageSetup paperSize="9" fitToHeight="0" orientation="landscape" r:id="rId1"/>
  <headerFooter differentFirst="1">
    <oddFooter>Page &amp;P of &amp;N</oddFooter>
  </headerFooter>
  <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extLst>
    <ext xmlns:x14="http://schemas.microsoft.com/office/spreadsheetml/2009/9/main" uri="{05C60535-1F16-4fd2-B633-F4F36F0B64E0}">
      <x14:sparklineGroups xmlns:xm="http://schemas.microsoft.com/office/excel/2006/main">
        <x14:sparklineGroup displayEmptyCellsAs="gap" high="1" low="1" xr2:uid="{44B3F0DA-411A-4A20-9E52-453B1572EB02}">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mensuel'!D15:O15</xm:f>
              <xm:sqref>Q15</xm:sqref>
            </x14:sparkline>
            <x14:sparkline>
              <xm:f>'Suivi budget mensuel'!D16:O16</xm:f>
              <xm:sqref>Q16</xm:sqref>
            </x14:sparkline>
            <x14:sparkline>
              <xm:f>'Suivi budget mensuel'!D17:O17</xm:f>
              <xm:sqref>Q17</xm:sqref>
            </x14:sparkline>
            <x14:sparkline>
              <xm:f>'Suivi budget mensuel'!D18:O18</xm:f>
              <xm:sqref>Q18</xm:sqref>
            </x14:sparkline>
            <x14:sparkline>
              <xm:f>'Suivi budget mensuel'!D19:O19</xm:f>
              <xm:sqref>Q19</xm:sqref>
            </x14:sparkline>
            <x14:sparkline>
              <xm:f>'Suivi budget mensuel'!D20:O20</xm:f>
              <xm:sqref>Q20</xm:sqref>
            </x14:sparkline>
            <x14:sparkline>
              <xm:f>'Suivi budget mensuel'!D21:O21</xm:f>
              <xm:sqref>Q21</xm:sqref>
            </x14:sparkline>
            <x14:sparkline>
              <xm:f>'Suivi budget mensuel'!D22:O22</xm:f>
              <xm:sqref>Q22</xm:sqref>
            </x14:sparkline>
            <x14:sparkline>
              <xm:f>'Suivi budget mensuel'!D23:O23</xm:f>
              <xm:sqref>Q23</xm:sqref>
            </x14:sparkline>
            <x14:sparkline>
              <xm:f>'Suivi budget mensuel'!D24:O24</xm:f>
              <xm:sqref>Q24</xm:sqref>
            </x14:sparkline>
          </x14:sparklines>
        </x14:sparklineGroup>
        <x14:sparklineGroup displayEmptyCellsAs="gap" high="1" low="1" xr2:uid="{B6DEBC31-59AC-4A76-B980-881E78F901FD}">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mensuel'!D8:O8</xm:f>
              <xm:sqref>Q8</xm:sqref>
            </x14:sparkline>
            <x14:sparkline>
              <xm:f>'Suivi budget mensuel'!D9:O9</xm:f>
              <xm:sqref>Q9</xm:sqref>
            </x14:sparkline>
            <x14:sparkline>
              <xm:f>'Suivi budget mensuel'!D10:O10</xm:f>
              <xm:sqref>Q10</xm:sqref>
            </x14:sparkline>
            <x14:sparkline>
              <xm:f>'Suivi budget mensuel'!D11:O11</xm:f>
              <xm:sqref>Q11</xm:sqref>
            </x14:sparkline>
          </x14:sparklines>
        </x14:sparklineGroup>
        <x14:sparklineGroup displayEmptyCellsAs="gap" high="1" low="1" xr2:uid="{109F2D40-EB04-4F31-892E-56B12B1C0A97}">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mensuel'!D50:O50</xm:f>
              <xm:sqref>Q50</xm:sqref>
            </x14:sparkline>
            <x14:sparkline>
              <xm:f>'Suivi budget mensuel'!D51:O51</xm:f>
              <xm:sqref>Q51</xm:sqref>
            </x14:sparkline>
            <x14:sparkline>
              <xm:f>'Suivi budget mensuel'!D52:O52</xm:f>
              <xm:sqref>Q52</xm:sqref>
            </x14:sparkline>
            <x14:sparkline>
              <xm:f>'Suivi budget mensuel'!D53:O53</xm:f>
              <xm:sqref>Q53</xm:sqref>
            </x14:sparkline>
            <x14:sparkline>
              <xm:f>'Suivi budget mensuel'!D54:O54</xm:f>
              <xm:sqref>Q54</xm:sqref>
            </x14:sparkline>
            <x14:sparkline>
              <xm:f>'Suivi budget mensuel'!D55:O55</xm:f>
              <xm:sqref>Q55</xm:sqref>
            </x14:sparkline>
            <x14:sparkline>
              <xm:f>'Suivi budget mensuel'!D56:O56</xm:f>
              <xm:sqref>Q56</xm:sqref>
            </x14:sparkline>
          </x14:sparklines>
        </x14:sparklineGroup>
        <x14:sparklineGroup displayEmptyCellsAs="gap" high="1" low="1" xr2:uid="{4529DCDF-7010-46A3-8DB2-34D3F4D6741D}">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mensuel'!D67:O67</xm:f>
              <xm:sqref>Q67</xm:sqref>
            </x14:sparkline>
            <x14:sparkline>
              <xm:f>'Suivi budget mensuel'!D68:O68</xm:f>
              <xm:sqref>Q68</xm:sqref>
            </x14:sparkline>
            <x14:sparkline>
              <xm:f>'Suivi budget mensuel'!D69:O69</xm:f>
              <xm:sqref>Q69</xm:sqref>
            </x14:sparkline>
            <x14:sparkline>
              <xm:f>'Suivi budget mensuel'!D70:O70</xm:f>
              <xm:sqref>Q70</xm:sqref>
            </x14:sparkline>
            <x14:sparkline>
              <xm:f>'Suivi budget mensuel'!D71:O71</xm:f>
              <xm:sqref>Q71</xm:sqref>
            </x14:sparkline>
            <x14:sparkline>
              <xm:f>'Suivi budget mensuel'!D72:O72</xm:f>
              <xm:sqref>Q72</xm:sqref>
            </x14:sparkline>
          </x14:sparklines>
        </x14:sparklineGroup>
        <x14:sparklineGroup displayEmptyCellsAs="gap" high="1" low="1" xr2:uid="{B49AE25D-613E-4EB3-9577-EBC11DD48DCC}">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mensuel'!D75:O75</xm:f>
              <xm:sqref>Q75</xm:sqref>
            </x14:sparkline>
            <x14:sparkline>
              <xm:f>'Suivi budget mensuel'!D76:O76</xm:f>
              <xm:sqref>Q76</xm:sqref>
            </x14:sparkline>
            <x14:sparkline>
              <xm:f>'Suivi budget mensuel'!D77:O77</xm:f>
              <xm:sqref>Q77</xm:sqref>
            </x14:sparkline>
            <x14:sparkline>
              <xm:f>'Suivi budget mensuel'!D78:O78</xm:f>
              <xm:sqref>Q78</xm:sqref>
            </x14:sparkline>
          </x14:sparklines>
        </x14:sparklineGroup>
        <x14:sparklineGroup displayEmptyCellsAs="gap" high="1" low="1" xr2:uid="{5F44B617-CDBD-4B1B-885E-486F85679EAF}">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mensuel'!D81:O81</xm:f>
              <xm:sqref>Q81</xm:sqref>
            </x14:sparkline>
            <x14:sparkline>
              <xm:f>'Suivi budget mensuel'!D82:O82</xm:f>
              <xm:sqref>Q82</xm:sqref>
            </x14:sparkline>
            <x14:sparkline>
              <xm:f>'Suivi budget mensuel'!D83:O83</xm:f>
              <xm:sqref>Q83</xm:sqref>
            </x14:sparkline>
            <x14:sparkline>
              <xm:f>'Suivi budget mensuel'!D84:O84</xm:f>
              <xm:sqref>Q84</xm:sqref>
            </x14:sparkline>
            <x14:sparkline>
              <xm:f>'Suivi budget mensuel'!D85:O85</xm:f>
              <xm:sqref>Q85</xm:sqref>
            </x14:sparkline>
            <x14:sparkline>
              <xm:f>'Suivi budget mensuel'!D86:O86</xm:f>
              <xm:sqref>Q86</xm:sqref>
            </x14:sparkline>
          </x14:sparklines>
        </x14:sparklineGroup>
        <x14:sparklineGroup displayEmptyCellsAs="gap" high="1" low="1" xr2:uid="{FE735A26-9BEE-410F-8F2B-82ACBB8D9135}">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mensuel'!D89:O89</xm:f>
              <xm:sqref>Q89</xm:sqref>
            </x14:sparkline>
            <x14:sparkline>
              <xm:f>'Suivi budget mensuel'!D90:O90</xm:f>
              <xm:sqref>Q90</xm:sqref>
            </x14:sparkline>
            <x14:sparkline>
              <xm:f>'Suivi budget mensuel'!D91:O91</xm:f>
              <xm:sqref>Q91</xm:sqref>
            </x14:sparkline>
            <x14:sparkline>
              <xm:f>'Suivi budget mensuel'!D92:O92</xm:f>
              <xm:sqref>Q92</xm:sqref>
            </x14:sparkline>
            <x14:sparkline>
              <xm:f>'Suivi budget mensuel'!D93:O93</xm:f>
              <xm:sqref>Q93</xm:sqref>
            </x14:sparkline>
            <x14:sparkline>
              <xm:f>'Suivi budget mensuel'!D94:O94</xm:f>
              <xm:sqref>Q94</xm:sqref>
            </x14:sparkline>
          </x14:sparklines>
        </x14:sparklineGroup>
        <x14:sparklineGroup displayEmptyCellsAs="gap" high="1" low="1" xr2:uid="{BBE5D317-0B45-42CA-82B0-693317FF3895}">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mensuel'!D97:O97</xm:f>
              <xm:sqref>Q97</xm:sqref>
            </x14:sparkline>
            <x14:sparkline>
              <xm:f>'Suivi budget mensuel'!D98:O98</xm:f>
              <xm:sqref>Q98</xm:sqref>
            </x14:sparkline>
            <x14:sparkline>
              <xm:f>'Suivi budget mensuel'!D99:O99</xm:f>
              <xm:sqref>Q99</xm:sqref>
            </x14:sparkline>
            <x14:sparkline>
              <xm:f>'Suivi budget mensuel'!D100:O100</xm:f>
              <xm:sqref>Q100</xm:sqref>
            </x14:sparkline>
            <x14:sparkline>
              <xm:f>'Suivi budget mensuel'!D101:O101</xm:f>
              <xm:sqref>Q101</xm:sqref>
            </x14:sparkline>
          </x14:sparklines>
        </x14:sparklineGroup>
        <x14:sparklineGroup displayEmptyCellsAs="gap" high="1" low="1" xr2:uid="{2AF5B192-BDC7-442A-8207-5D5F35B795AF}">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mensuel'!D104:O104</xm:f>
              <xm:sqref>Q104</xm:sqref>
            </x14:sparkline>
            <x14:sparkline>
              <xm:f>'Suivi budget mensuel'!D105:O105</xm:f>
              <xm:sqref>Q105</xm:sqref>
            </x14:sparkline>
            <x14:sparkline>
              <xm:f>'Suivi budget mensuel'!D106:O106</xm:f>
              <xm:sqref>Q106</xm:sqref>
            </x14:sparkline>
            <x14:sparkline>
              <xm:f>'Suivi budget mensuel'!D107:O107</xm:f>
              <xm:sqref>Q107</xm:sqref>
            </x14:sparkline>
            <x14:sparkline>
              <xm:f>'Suivi budget mensuel'!D108:O108</xm:f>
              <xm:sqref>Q108</xm:sqref>
            </x14:sparkline>
            <x14:sparkline>
              <xm:f>'Suivi budget mensuel'!D109:O109</xm:f>
              <xm:sqref>Q109</xm:sqref>
            </x14:sparkline>
            <x14:sparkline>
              <xm:f>'Suivi budget mensuel'!D110:O110</xm:f>
              <xm:sqref>Q110</xm:sqref>
            </x14:sparkline>
            <x14:sparkline>
              <xm:f>'Suivi budget mensuel'!D111:O111</xm:f>
              <xm:sqref>Q111</xm:sqref>
            </x14:sparkline>
          </x14:sparklines>
        </x14:sparklineGroup>
        <x14:sparklineGroup displayEmptyCellsAs="gap" high="1" low="1" xr2:uid="{A1FF5E6E-991C-4BD1-89E8-DF3CEE9CFE2F}">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mensuel'!D113:O113</xm:f>
              <xm:sqref>Q113</xm:sqref>
            </x14:sparkline>
            <x14:sparkline>
              <xm:f>'Suivi budget mensuel'!D114:O114</xm:f>
              <xm:sqref>Q114</xm:sqref>
            </x14:sparkline>
            <x14:sparkline>
              <xm:f>'Suivi budget mensuel'!D115:O115</xm:f>
              <xm:sqref>Q115</xm:sqref>
            </x14:sparkline>
            <x14:sparkline>
              <xm:f>'Suivi budget mensuel'!D116:O116</xm:f>
              <xm:sqref>Q116</xm:sqref>
            </x14:sparkline>
            <x14:sparkline>
              <xm:f>'Suivi budget mensuel'!D117:O117</xm:f>
              <xm:sqref>Q117</xm:sqref>
            </x14:sparkline>
            <x14:sparkline>
              <xm:f>'Suivi budget mensuel'!D118:O118</xm:f>
              <xm:sqref>Q118</xm:sqref>
            </x14:sparkline>
          </x14:sparklines>
        </x14:sparklineGroup>
        <x14:sparklineGroup displayEmptyCellsAs="gap" high="1" low="1" xr2:uid="{5C3EE168-16E8-4A01-AE71-B380A1A8D959}">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mensuel'!D59:O59</xm:f>
              <xm:sqref>Q59</xm:sqref>
            </x14:sparkline>
            <x14:sparkline>
              <xm:f>'Suivi budget mensuel'!D60:O60</xm:f>
              <xm:sqref>Q60</xm:sqref>
            </x14:sparkline>
            <x14:sparkline>
              <xm:f>'Suivi budget mensuel'!D61:O61</xm:f>
              <xm:sqref>Q61</xm:sqref>
            </x14:sparkline>
            <x14:sparkline>
              <xm:f>'Suivi budget mensuel'!D62:O62</xm:f>
              <xm:sqref>Q62</xm:sqref>
            </x14:sparkline>
            <x14:sparkline>
              <xm:f>'Suivi budget mensuel'!D63:O63</xm:f>
              <xm:sqref>Q63</xm:sqref>
            </x14:sparkline>
            <x14:sparkline>
              <xm:f>'Suivi budget mensuel'!D64:O64</xm:f>
              <xm:sqref>Q64</xm:sqref>
            </x14:sparkline>
          </x14:sparklines>
        </x14:sparklineGroup>
        <x14:sparklineGroup displayEmptyCellsAs="gap" high="1" low="1" xr2:uid="{0C599364-BA7C-48BD-BC91-BE8860297C8E}">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mensuel'!D39:O39</xm:f>
              <xm:sqref>Q39</xm:sqref>
            </x14:sparkline>
            <x14:sparkline>
              <xm:f>'Suivi budget mensuel'!D40:O40</xm:f>
              <xm:sqref>Q40</xm:sqref>
            </x14:sparkline>
            <x14:sparkline>
              <xm:f>'Suivi budget mensuel'!D41:O41</xm:f>
              <xm:sqref>Q41</xm:sqref>
            </x14:sparkline>
            <x14:sparkline>
              <xm:f>'Suivi budget mensuel'!D42:O42</xm:f>
              <xm:sqref>Q42</xm:sqref>
            </x14:sparkline>
            <x14:sparkline>
              <xm:f>'Suivi budget mensuel'!D43:O43</xm:f>
              <xm:sqref>Q43</xm:sqref>
            </x14:sparkline>
            <x14:sparkline>
              <xm:f>'Suivi budget mensuel'!D44:O44</xm:f>
              <xm:sqref>Q44</xm:sqref>
            </x14:sparkline>
            <x14:sparkline>
              <xm:f>'Suivi budget mensuel'!D45:O45</xm:f>
              <xm:sqref>Q45</xm:sqref>
            </x14:sparkline>
            <x14:sparkline>
              <xm:f>'Suivi budget mensuel'!D46:O46</xm:f>
              <xm:sqref>Q46</xm:sqref>
            </x14:sparkline>
            <x14:sparkline>
              <xm:f>'Suivi budget mensuel'!D47:O47</xm:f>
              <xm:sqref>Q47</xm:sqref>
            </x14:sparkline>
          </x14:sparklines>
        </x14:sparklineGroup>
        <x14:sparklineGroup displayEmptyCellsAs="gap" high="1" low="1" xr2:uid="{11AD14F6-EF45-41BF-8604-491F46E3C64E}">
          <x14:colorSeries theme="4" tint="-0.249977111117893"/>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mensuel'!D27:O27</xm:f>
              <xm:sqref>Q27</xm:sqref>
            </x14:sparkline>
            <x14:sparkline>
              <xm:f>'Suivi budget mensuel'!D28:O28</xm:f>
              <xm:sqref>Q28</xm:sqref>
            </x14:sparkline>
            <x14:sparkline>
              <xm:f>'Suivi budget mensuel'!D29:O29</xm:f>
              <xm:sqref>Q29</xm:sqref>
            </x14:sparkline>
            <x14:sparkline>
              <xm:f>'Suivi budget mensuel'!D30:O30</xm:f>
              <xm:sqref>Q30</xm:sqref>
            </x14:sparkline>
            <x14:sparkline>
              <xm:f>'Suivi budget mensuel'!D31:O31</xm:f>
              <xm:sqref>Q31</xm:sqref>
            </x14:sparkline>
            <x14:sparkline>
              <xm:f>'Suivi budget mensuel'!D32:O32</xm:f>
              <xm:sqref>Q32</xm:sqref>
            </x14:sparkline>
            <x14:sparkline>
              <xm:f>'Suivi budget mensuel'!D33:O33</xm:f>
              <xm:sqref>Q33</xm:sqref>
            </x14:sparkline>
            <x14:sparkline>
              <xm:f>'Suivi budget mensuel'!D34:O34</xm:f>
              <xm:sqref>Q34</xm:sqref>
            </x14:sparkline>
            <x14:sparkline>
              <xm:f>'Suivi budget mensuel'!D35:O35</xm:f>
              <xm:sqref>Q35</xm:sqref>
            </x14:sparkline>
            <x14:sparkline>
              <xm:f>'Suivi budget mensuel'!D36:O36</xm:f>
              <xm:sqref>Q36</xm:sqref>
            </x14:sparkline>
          </x14:sparklines>
        </x14:sparklineGroup>
        <x14:sparklineGroup displayEmptyCellsAs="gap" high="1" low="1" xr2:uid="{CEDE4A0C-D080-4FA1-9926-360E573E387E}">
          <x14:colorSeries theme="0"/>
          <x14:colorNegative theme="5"/>
          <x14:colorAxis rgb="FF000000"/>
          <x14:colorMarkers theme="5" tint="-0.249977111117893"/>
          <x14:colorFirst theme="5" tint="-0.249977111117893"/>
          <x14:colorLast theme="5" tint="-0.249977111117893"/>
          <x14:colorHigh theme="5" tint="-0.249977111117893"/>
          <x14:colorLow theme="5" tint="-0.249977111117893"/>
          <x14:sparklines>
            <x14:sparkline>
              <xm:f>'Suivi budget mensuel'!D121:O121</xm:f>
              <xm:sqref>Q121</xm:sqref>
            </x14:sparkline>
            <x14:sparkline>
              <xm:f>'Suivi budget mensuel'!D122:O122</xm:f>
              <xm:sqref>Q122</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2B15-5525-4BA6-8032-0E7E2F997F70}">
  <sheetPr>
    <tabColor rgb="FFEDEEE6"/>
  </sheetPr>
  <dimension ref="A1:AX282"/>
  <sheetViews>
    <sheetView tabSelected="1" topLeftCell="A7" zoomScaleNormal="100" workbookViewId="0">
      <selection activeCell="E8" sqref="E8"/>
    </sheetView>
  </sheetViews>
  <sheetFormatPr baseColWidth="10" defaultRowHeight="12.75"/>
  <cols>
    <col min="1" max="1" width="108.28515625" style="218" bestFit="1" customWidth="1"/>
    <col min="2" max="2" width="40.7109375" style="219" customWidth="1"/>
    <col min="3" max="50" width="11.42578125" style="208"/>
    <col min="51" max="16384" width="11.42578125" style="218"/>
  </cols>
  <sheetData>
    <row r="1" spans="1:2" s="208" customFormat="1" ht="12.75" customHeight="1">
      <c r="A1" s="246" t="s">
        <v>152</v>
      </c>
      <c r="B1" s="207"/>
    </row>
    <row r="2" spans="1:2" s="208" customFormat="1" ht="12.75" customHeight="1">
      <c r="A2" s="246"/>
      <c r="B2" s="207"/>
    </row>
    <row r="3" spans="1:2" s="208" customFormat="1" ht="12.75" customHeight="1">
      <c r="A3" s="246"/>
      <c r="B3" s="207"/>
    </row>
    <row r="4" spans="1:2" s="208" customFormat="1" ht="12.75" customHeight="1">
      <c r="A4" s="247" t="s">
        <v>155</v>
      </c>
      <c r="B4" s="207"/>
    </row>
    <row r="5" spans="1:2" s="208" customFormat="1" ht="12.75" customHeight="1">
      <c r="A5" s="247"/>
      <c r="B5" s="207"/>
    </row>
    <row r="6" spans="1:2" s="208" customFormat="1" ht="12.75" customHeight="1">
      <c r="A6" s="247"/>
      <c r="B6" s="207"/>
    </row>
    <row r="7" spans="1:2" s="208" customFormat="1" ht="12.75" customHeight="1">
      <c r="A7" s="209"/>
      <c r="B7" s="207"/>
    </row>
    <row r="8" spans="1:2" s="208" customFormat="1" ht="12.75" customHeight="1">
      <c r="A8" s="210" t="s">
        <v>153</v>
      </c>
      <c r="B8" s="207"/>
    </row>
    <row r="9" spans="1:2" s="208" customFormat="1" ht="12.75" customHeight="1">
      <c r="A9" s="211" t="s">
        <v>154</v>
      </c>
      <c r="B9" s="207"/>
    </row>
    <row r="10" spans="1:2" s="208" customFormat="1">
      <c r="A10" s="248" t="s">
        <v>27</v>
      </c>
      <c r="B10" s="248"/>
    </row>
    <row r="11" spans="1:2" s="208" customFormat="1">
      <c r="A11" s="207"/>
      <c r="B11" s="207"/>
    </row>
    <row r="12" spans="1:2" s="208" customFormat="1" ht="15.75">
      <c r="A12" s="249" t="s">
        <v>150</v>
      </c>
      <c r="B12" s="249"/>
    </row>
    <row r="13" spans="1:2" s="208" customFormat="1">
      <c r="A13" s="248"/>
      <c r="B13" s="248"/>
    </row>
    <row r="14" spans="1:2" s="208" customFormat="1" ht="15.75">
      <c r="A14" s="244"/>
      <c r="B14" s="245"/>
    </row>
    <row r="15" spans="1:2" s="208" customFormat="1" ht="21">
      <c r="A15" s="250" t="s">
        <v>143</v>
      </c>
      <c r="B15" s="250"/>
    </row>
    <row r="16" spans="1:2" s="208" customFormat="1">
      <c r="A16" s="212"/>
      <c r="B16" s="212"/>
    </row>
    <row r="17" spans="1:2" s="208" customFormat="1" ht="15.75">
      <c r="A17" s="213"/>
      <c r="B17" s="214"/>
    </row>
    <row r="18" spans="1:2" s="208" customFormat="1">
      <c r="A18" s="248" t="s">
        <v>27</v>
      </c>
      <c r="B18" s="248"/>
    </row>
    <row r="19" spans="1:2" s="208" customFormat="1" ht="12.75" customHeight="1">
      <c r="A19" s="207"/>
      <c r="B19" s="207"/>
    </row>
    <row r="20" spans="1:2" s="208" customFormat="1" ht="12.75" customHeight="1">
      <c r="A20" s="249" t="s">
        <v>145</v>
      </c>
      <c r="B20" s="249"/>
    </row>
    <row r="21" spans="1:2" s="208" customFormat="1" ht="12.75" customHeight="1">
      <c r="A21" s="248"/>
      <c r="B21" s="248"/>
    </row>
    <row r="22" spans="1:2" s="208" customFormat="1" ht="12.75" customHeight="1">
      <c r="A22" s="244"/>
      <c r="B22" s="245"/>
    </row>
    <row r="23" spans="1:2" s="208" customFormat="1" ht="12.75" customHeight="1">
      <c r="A23" s="215" t="s">
        <v>146</v>
      </c>
      <c r="B23" s="216"/>
    </row>
    <row r="24" spans="1:2" s="208" customFormat="1" ht="21">
      <c r="A24" s="253" t="s">
        <v>144</v>
      </c>
      <c r="B24" s="254"/>
    </row>
    <row r="25" spans="1:2" s="208" customFormat="1" ht="12.75" customHeight="1">
      <c r="A25" s="248"/>
      <c r="B25" s="248"/>
    </row>
    <row r="26" spans="1:2" s="208" customFormat="1" ht="12.75" customHeight="1">
      <c r="A26" s="213"/>
      <c r="B26" s="214"/>
    </row>
    <row r="27" spans="1:2" s="208" customFormat="1" ht="12.75" customHeight="1">
      <c r="A27" s="251"/>
      <c r="B27" s="251"/>
    </row>
    <row r="28" spans="1:2" s="208" customFormat="1" ht="12.75" customHeight="1">
      <c r="A28" s="252" t="s">
        <v>148</v>
      </c>
      <c r="B28" s="252"/>
    </row>
    <row r="29" spans="1:2" s="208" customFormat="1" ht="21">
      <c r="A29" s="253" t="s">
        <v>144</v>
      </c>
      <c r="B29" s="254"/>
    </row>
    <row r="30" spans="1:2" s="208" customFormat="1" ht="12.75" customHeight="1">
      <c r="A30" s="251"/>
      <c r="B30" s="251"/>
    </row>
    <row r="31" spans="1:2" s="208" customFormat="1" ht="12.75" customHeight="1">
      <c r="A31" s="251"/>
      <c r="B31" s="251"/>
    </row>
    <row r="32" spans="1:2" s="208" customFormat="1" ht="12.75" customHeight="1">
      <c r="A32" s="248"/>
      <c r="B32" s="248"/>
    </row>
    <row r="33" spans="1:2" s="208" customFormat="1" ht="12.75" customHeight="1">
      <c r="A33" s="252" t="s">
        <v>149</v>
      </c>
      <c r="B33" s="252"/>
    </row>
    <row r="34" spans="1:2" s="208" customFormat="1" ht="21">
      <c r="A34" s="253" t="s">
        <v>144</v>
      </c>
      <c r="B34" s="254"/>
    </row>
    <row r="35" spans="1:2" s="208" customFormat="1" ht="12.75" customHeight="1">
      <c r="A35" s="207"/>
      <c r="B35" s="207"/>
    </row>
    <row r="36" spans="1:2" s="208" customFormat="1" ht="12.75" customHeight="1">
      <c r="A36" s="244"/>
      <c r="B36" s="245"/>
    </row>
    <row r="37" spans="1:2" s="208" customFormat="1" ht="12.75" customHeight="1">
      <c r="A37" s="251"/>
      <c r="B37" s="251"/>
    </row>
    <row r="38" spans="1:2" s="208" customFormat="1" ht="12.75" customHeight="1">
      <c r="A38" s="216"/>
      <c r="B38" s="216"/>
    </row>
    <row r="39" spans="1:2" s="208" customFormat="1" ht="15.75">
      <c r="A39" s="252" t="s">
        <v>147</v>
      </c>
      <c r="B39" s="252"/>
    </row>
    <row r="40" spans="1:2" s="208" customFormat="1" ht="21">
      <c r="A40" s="253" t="s">
        <v>144</v>
      </c>
      <c r="B40" s="254"/>
    </row>
    <row r="41" spans="1:2" s="208" customFormat="1" ht="12.75" customHeight="1">
      <c r="A41" s="244"/>
      <c r="B41" s="245"/>
    </row>
    <row r="42" spans="1:2" s="208" customFormat="1" ht="12.75" customHeight="1">
      <c r="A42" s="217"/>
      <c r="B42" s="217"/>
    </row>
    <row r="43" spans="1:2" s="208" customFormat="1" ht="12.75" customHeight="1">
      <c r="A43" s="216"/>
      <c r="B43" s="216"/>
    </row>
    <row r="44" spans="1:2" s="208" customFormat="1" ht="15.75">
      <c r="A44" s="252" t="s">
        <v>151</v>
      </c>
      <c r="B44" s="252"/>
    </row>
    <row r="45" spans="1:2" s="208" customFormat="1" ht="21">
      <c r="A45" s="253" t="s">
        <v>144</v>
      </c>
      <c r="B45" s="254"/>
    </row>
    <row r="46" spans="1:2" s="208" customFormat="1" ht="12.75" customHeight="1">
      <c r="A46" s="244"/>
      <c r="B46" s="245"/>
    </row>
    <row r="47" spans="1:2" s="208" customFormat="1" ht="12.75" customHeight="1">
      <c r="A47" s="217"/>
      <c r="B47" s="217"/>
    </row>
    <row r="48" spans="1:2" s="208" customFormat="1">
      <c r="A48" s="248" t="s">
        <v>27</v>
      </c>
      <c r="B48" s="248"/>
    </row>
    <row r="49" spans="1:2" s="208" customFormat="1">
      <c r="A49" s="207"/>
      <c r="B49" s="207"/>
    </row>
    <row r="50" spans="1:2" s="208" customFormat="1"/>
    <row r="51" spans="1:2" s="208" customFormat="1"/>
    <row r="52" spans="1:2" s="208" customFormat="1"/>
    <row r="53" spans="1:2" s="208" customFormat="1"/>
    <row r="54" spans="1:2" s="208" customFormat="1"/>
    <row r="55" spans="1:2" s="208" customFormat="1"/>
    <row r="56" spans="1:2" s="208" customFormat="1"/>
    <row r="57" spans="1:2" s="208" customFormat="1"/>
    <row r="58" spans="1:2" s="208" customFormat="1"/>
    <row r="59" spans="1:2" s="208" customFormat="1"/>
    <row r="60" spans="1:2" s="208" customFormat="1"/>
    <row r="61" spans="1:2" s="208" customFormat="1"/>
    <row r="62" spans="1:2" s="208" customFormat="1"/>
    <row r="63" spans="1:2" s="208" customFormat="1"/>
    <row r="64" spans="1:2" s="208" customFormat="1"/>
    <row r="65" s="208" customFormat="1"/>
    <row r="66" s="208" customFormat="1"/>
    <row r="67" s="208" customFormat="1"/>
    <row r="68" s="208" customFormat="1"/>
    <row r="69" s="208" customFormat="1"/>
    <row r="70" s="208" customFormat="1"/>
    <row r="71" s="208" customFormat="1"/>
    <row r="72" s="208" customFormat="1"/>
    <row r="73" s="208" customFormat="1"/>
    <row r="74" s="208" customFormat="1"/>
    <row r="75" s="208" customFormat="1"/>
    <row r="76" s="208" customFormat="1"/>
    <row r="77" s="208" customFormat="1"/>
    <row r="78" s="208" customFormat="1"/>
    <row r="79" s="208" customFormat="1"/>
    <row r="80" s="208" customFormat="1"/>
    <row r="81" s="208" customFormat="1"/>
    <row r="82" s="208" customFormat="1"/>
    <row r="83" s="208" customFormat="1"/>
    <row r="84" s="208" customFormat="1"/>
    <row r="85" s="208" customFormat="1"/>
    <row r="86" s="208" customFormat="1"/>
    <row r="87" s="208" customFormat="1"/>
    <row r="88" s="208" customFormat="1"/>
    <row r="89" s="208" customFormat="1"/>
    <row r="90" s="208" customFormat="1"/>
    <row r="91" s="208" customFormat="1"/>
    <row r="92" s="208" customFormat="1"/>
    <row r="93" s="208" customFormat="1"/>
    <row r="94" s="208" customFormat="1"/>
    <row r="95" s="208" customFormat="1"/>
    <row r="96" s="208" customFormat="1"/>
    <row r="97" s="208" customFormat="1"/>
    <row r="98" s="208" customFormat="1"/>
    <row r="99" s="208" customFormat="1"/>
    <row r="100" s="208" customFormat="1"/>
    <row r="101" s="208" customFormat="1"/>
    <row r="102" s="208" customFormat="1"/>
    <row r="103" s="208" customFormat="1"/>
    <row r="104" s="208" customFormat="1"/>
    <row r="105" s="208" customFormat="1"/>
    <row r="106" s="208" customFormat="1"/>
    <row r="107" s="208" customFormat="1"/>
    <row r="108" s="208" customFormat="1"/>
    <row r="109" s="208" customFormat="1"/>
    <row r="110" s="208" customFormat="1"/>
    <row r="111" s="208" customFormat="1"/>
    <row r="112" s="208" customFormat="1"/>
    <row r="113" s="208" customFormat="1"/>
    <row r="114" s="208" customFormat="1"/>
    <row r="115" s="208" customFormat="1"/>
    <row r="116" s="208" customFormat="1"/>
    <row r="117" s="208" customFormat="1"/>
    <row r="118" s="208" customFormat="1"/>
    <row r="119" s="208" customFormat="1"/>
    <row r="120" s="208" customFormat="1"/>
    <row r="121" s="208" customFormat="1"/>
    <row r="122" s="208" customFormat="1"/>
    <row r="123" s="208" customFormat="1"/>
    <row r="124" s="208" customFormat="1"/>
    <row r="125" s="208" customFormat="1"/>
    <row r="126" s="208" customFormat="1"/>
    <row r="127" s="208" customFormat="1"/>
    <row r="128" s="208" customFormat="1"/>
    <row r="129" s="208" customFormat="1"/>
    <row r="130" s="208" customFormat="1"/>
    <row r="131" s="208" customFormat="1"/>
    <row r="132" s="208" customFormat="1"/>
    <row r="133" s="208" customFormat="1"/>
    <row r="134" s="208" customFormat="1"/>
    <row r="135" s="208" customFormat="1"/>
    <row r="136" s="208" customFormat="1"/>
    <row r="137" s="208" customFormat="1"/>
    <row r="138" s="208" customFormat="1"/>
    <row r="139" s="208" customFormat="1"/>
    <row r="140" s="208" customFormat="1"/>
    <row r="141" s="208" customFormat="1"/>
    <row r="142" s="208" customFormat="1"/>
    <row r="143" s="208" customFormat="1"/>
    <row r="144" s="208" customFormat="1"/>
    <row r="145" s="208" customFormat="1"/>
    <row r="146" s="208" customFormat="1"/>
    <row r="147" s="208" customFormat="1"/>
    <row r="148" s="208" customFormat="1"/>
    <row r="149" s="208" customFormat="1"/>
    <row r="150" s="208" customFormat="1"/>
    <row r="151" s="208" customFormat="1"/>
    <row r="152" s="208" customFormat="1"/>
    <row r="153" s="208" customFormat="1"/>
    <row r="154" s="208" customFormat="1"/>
    <row r="155" s="208" customFormat="1"/>
    <row r="156" s="208" customFormat="1"/>
    <row r="157" s="208" customFormat="1"/>
    <row r="158" s="208" customFormat="1"/>
    <row r="159" s="208" customFormat="1"/>
    <row r="160" s="208" customFormat="1"/>
    <row r="161" s="208" customFormat="1"/>
    <row r="162" s="208" customFormat="1"/>
    <row r="163" s="208" customFormat="1"/>
    <row r="164" s="208" customFormat="1"/>
    <row r="165" s="208" customFormat="1"/>
    <row r="166" s="208" customFormat="1"/>
    <row r="167" s="208" customFormat="1"/>
    <row r="168" s="208" customFormat="1"/>
    <row r="169" s="208" customFormat="1"/>
    <row r="170" s="208" customFormat="1"/>
    <row r="171" s="208" customFormat="1"/>
    <row r="172" s="208" customFormat="1"/>
    <row r="173" s="208" customFormat="1"/>
    <row r="174" s="208" customFormat="1"/>
    <row r="175" s="208" customFormat="1"/>
    <row r="176" s="208" customFormat="1"/>
    <row r="177" s="208" customFormat="1"/>
    <row r="178" s="208" customFormat="1"/>
    <row r="179" s="208" customFormat="1"/>
    <row r="180" s="208" customFormat="1"/>
    <row r="181" s="208" customFormat="1"/>
    <row r="182" s="208" customFormat="1"/>
    <row r="183" s="208" customFormat="1"/>
    <row r="184" s="208" customFormat="1"/>
    <row r="185" s="208" customFormat="1"/>
    <row r="186" s="208" customFormat="1"/>
    <row r="187" s="208" customFormat="1"/>
    <row r="188" s="208" customFormat="1"/>
    <row r="189" s="208" customFormat="1"/>
    <row r="190" s="208" customFormat="1"/>
    <row r="191" s="208" customFormat="1"/>
    <row r="192" s="208" customFormat="1"/>
    <row r="193" s="208" customFormat="1"/>
    <row r="194" s="208" customFormat="1"/>
    <row r="195" s="208" customFormat="1"/>
    <row r="196" s="208" customFormat="1"/>
    <row r="197" s="208" customFormat="1"/>
    <row r="198" s="208" customFormat="1"/>
    <row r="199" s="208" customFormat="1"/>
    <row r="200" s="208" customFormat="1"/>
    <row r="201" s="208" customFormat="1"/>
    <row r="202" s="208" customFormat="1"/>
    <row r="203" s="208" customFormat="1"/>
    <row r="204" s="208" customFormat="1"/>
    <row r="205" s="208" customFormat="1"/>
    <row r="206" s="208" customFormat="1"/>
    <row r="207" s="208" customFormat="1"/>
    <row r="208" s="208" customFormat="1"/>
    <row r="209" s="208" customFormat="1"/>
    <row r="210" s="208" customFormat="1"/>
    <row r="211" s="208" customFormat="1"/>
    <row r="212" s="208" customFormat="1"/>
    <row r="213" s="208" customFormat="1"/>
    <row r="214" s="208" customFormat="1"/>
    <row r="215" s="208" customFormat="1"/>
    <row r="216" s="208" customFormat="1"/>
    <row r="217" s="208" customFormat="1"/>
    <row r="218" s="208" customFormat="1"/>
    <row r="219" s="208" customFormat="1"/>
    <row r="220" s="208" customFormat="1"/>
    <row r="221" s="208" customFormat="1"/>
    <row r="222" s="208" customFormat="1"/>
    <row r="223" s="208" customFormat="1"/>
    <row r="224" s="208" customFormat="1"/>
    <row r="225" s="208" customFormat="1"/>
    <row r="226" s="208" customFormat="1"/>
    <row r="227" s="208" customFormat="1"/>
    <row r="228" s="208" customFormat="1"/>
    <row r="229" s="208" customFormat="1"/>
    <row r="230" s="208" customFormat="1"/>
    <row r="231" s="208" customFormat="1"/>
    <row r="232" s="208" customFormat="1"/>
    <row r="233" s="208" customFormat="1"/>
    <row r="234" s="208" customFormat="1"/>
    <row r="235" s="208" customFormat="1"/>
    <row r="236" s="208" customFormat="1"/>
    <row r="237" s="208" customFormat="1"/>
    <row r="238" s="208" customFormat="1"/>
    <row r="239" s="208" customFormat="1"/>
    <row r="240" s="208" customFormat="1"/>
    <row r="241" s="208" customFormat="1"/>
    <row r="242" s="208" customFormat="1"/>
    <row r="243" s="208" customFormat="1"/>
    <row r="244" s="208" customFormat="1"/>
    <row r="245" s="208" customFormat="1"/>
    <row r="246" s="208" customFormat="1"/>
    <row r="247" s="208" customFormat="1"/>
    <row r="248" s="208" customFormat="1"/>
    <row r="249" s="208" customFormat="1"/>
    <row r="250" s="208" customFormat="1"/>
    <row r="251" s="208" customFormat="1"/>
    <row r="252" s="208" customFormat="1"/>
    <row r="253" s="208" customFormat="1"/>
    <row r="254" s="208" customFormat="1"/>
    <row r="255" s="208" customFormat="1"/>
    <row r="256" s="208" customFormat="1"/>
    <row r="257" s="208" customFormat="1"/>
    <row r="258" s="208" customFormat="1"/>
    <row r="259" s="208" customFormat="1"/>
    <row r="260" s="208" customFormat="1"/>
    <row r="261" s="208" customFormat="1"/>
    <row r="262" s="208" customFormat="1"/>
    <row r="263" s="208" customFormat="1"/>
    <row r="264" s="208" customFormat="1"/>
    <row r="265" s="208" customFormat="1"/>
    <row r="266" s="208" customFormat="1"/>
    <row r="267" s="208" customFormat="1"/>
    <row r="268" s="208" customFormat="1"/>
    <row r="269" s="208" customFormat="1"/>
    <row r="270" s="208" customFormat="1"/>
    <row r="271" s="208" customFormat="1"/>
    <row r="272" s="208" customFormat="1"/>
    <row r="273" s="208" customFormat="1"/>
    <row r="274" s="208" customFormat="1"/>
    <row r="275" s="208" customFormat="1"/>
    <row r="276" s="208" customFormat="1"/>
    <row r="277" s="208" customFormat="1"/>
    <row r="278" s="208" customFormat="1"/>
    <row r="279" s="208" customFormat="1"/>
    <row r="280" s="208" customFormat="1"/>
    <row r="281" s="208" customFormat="1"/>
    <row r="282" s="208" customFormat="1"/>
  </sheetData>
  <sheetProtection algorithmName="SHA-512" hashValue="Q6dXg/dveA70F7GEjJIhOpX6QsakJSa8hAvSHNyjHu829I7eR/aKUki4hA0F3298p7qm+9mIdp11mAZ0IwABiQ==" saltValue="XzAjW7PTHQPLIaEDbBXYDw==" spinCount="100000" sheet="1" objects="1" scenarios="1" selectLockedCells="1" selectUnlockedCells="1"/>
  <mergeCells count="29">
    <mergeCell ref="A48:B48"/>
    <mergeCell ref="A24:B24"/>
    <mergeCell ref="A39:B39"/>
    <mergeCell ref="A40:B40"/>
    <mergeCell ref="A41:B41"/>
    <mergeCell ref="A44:B44"/>
    <mergeCell ref="A45:B45"/>
    <mergeCell ref="A46:B46"/>
    <mergeCell ref="A37:B37"/>
    <mergeCell ref="A29:B29"/>
    <mergeCell ref="A30:B31"/>
    <mergeCell ref="A32:B32"/>
    <mergeCell ref="A33:B33"/>
    <mergeCell ref="A34:B34"/>
    <mergeCell ref="A36:B36"/>
    <mergeCell ref="A25:B25"/>
    <mergeCell ref="A15:B15"/>
    <mergeCell ref="A27:B27"/>
    <mergeCell ref="A28:B28"/>
    <mergeCell ref="A18:B18"/>
    <mergeCell ref="A20:B20"/>
    <mergeCell ref="A21:B21"/>
    <mergeCell ref="A22:B22"/>
    <mergeCell ref="A14:B14"/>
    <mergeCell ref="A1:A3"/>
    <mergeCell ref="A4:A6"/>
    <mergeCell ref="A10:B10"/>
    <mergeCell ref="A12:B12"/>
    <mergeCell ref="A13:B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y W B W V E 2 S R W a l A A A A 9 g A A A B I A H A B D b 2 5 m a W c v U G F j a 2 F n Z S 5 4 b W w g o h g A K K A U A A A A A A A A A A A A A A A A A A A A A A A A A A A A h Y 8 x D o I w G I W v Q r r T F j T G k J 8 y m D h J Y j Q x r k 0 p 0 A j F t M V y N w e P 5 B X E K O r m + L 7 3 D e / d r z f I h r Y J L t J Y 1 e k U R Z i i Q G r R F U p X K e p d G S 5 R x m D L x Y l X M h h l b Z P B F i m q n T s n h H j v s Z / h z l Q k p j Q i x 3 y z F 7 V s O f r I 6 r 8 c K m 0 d 1 0 I i B o f X G B b j i F K 8 m I + b g E w Q c q W / Q j x 2 z / Y H w q p v X G 8 k K 0 2 4 3 g G Z I p D 3 B / Y A U E s D B B Q A A g A I A M l g V 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Y F Z U K I p H u A 4 A A A A R A A A A E w A c A E Z v c m 1 1 b G F z L 1 N l Y 3 R p b 2 4 x L m 0 g o h g A K K A U A A A A A A A A A A A A A A A A A A A A A A A A A A A A K 0 5 N L s n M z 1 M I h t C G 1 g B Q S w E C L Q A U A A I A C A D J Y F Z U T Z J F Z q U A A A D 2 A A A A E g A A A A A A A A A A A A A A A A A A A A A A Q 2 9 u Z m l n L 1 B h Y 2 t h Z 2 U u e G 1 s U E s B A i 0 A F A A C A A g A y W B W V A / K 6 a u k A A A A 6 Q A A A B M A A A A A A A A A A A A A A A A A 8 Q A A A F t D b 2 5 0 Z W 5 0 X 1 R 5 c G V z X S 5 4 b W x Q S w E C L Q A U A A I A C A D J Y F Z U 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o b t 2 p P 1 4 8 0 W n F + q b S 6 X o E Q A A A A A C A A A A A A A Q Z g A A A A E A A C A A A A B 5 O s o R D a D B g M m 1 5 e Z r g d t H 7 M s E s J b x G J R A e T p R A F E 9 5 A A A A A A O g A A A A A I A A C A A A A A 7 4 c 3 Z J y K o I G q 9 b f R z 3 A R M 6 X A r i s 9 R y R / n F 2 K d X J D 5 D F A A A A C Y Q d x w U g c 0 r r y w 8 + R o 5 x q + b / R p k t E a m / X 8 D H j h j / k D p C 2 u n c H 6 Y 6 2 l p m p p E o 1 R 2 D X j d + Q x k s c z y p R d c e J M O R r 6 v H M Z P 7 Q m C y F N T O H S a 7 q b R 0 A A A A B 2 I 1 l W 9 1 D R q a O I F F w 6 Z P 7 1 b D z q a z x j v z H d 7 2 C F w e O R r U n d a / D W h L T o 7 W z w T a 8 n C + I t 0 X M 7 O E n P m 8 Q z 2 N K b S V D W < / D a t a M a s h u p > 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815F9B-5476-416D-8EC5-CD0AE10C5CD6}">
  <ds:schemaRefs>
    <ds:schemaRef ds:uri="http://schemas.microsoft.com/DataMashup"/>
  </ds:schemaRefs>
</ds:datastoreItem>
</file>

<file path=customXml/itemProps2.xml><?xml version="1.0" encoding="utf-8"?>
<ds:datastoreItem xmlns:ds="http://schemas.openxmlformats.org/officeDocument/2006/customXml" ds:itemID="{62ECAD3B-EAEA-4383-94BC-FD59E091E898}">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44517F70-2992-44DE-95FD-5B6D81A222C4}">
  <ds:schemaRefs>
    <ds:schemaRef ds:uri="http://schemas.microsoft.com/sharepoint/v3/contenttype/forms"/>
  </ds:schemaRefs>
</ds:datastoreItem>
</file>

<file path=customXml/itemProps4.xml><?xml version="1.0" encoding="utf-8"?>
<ds:datastoreItem xmlns:ds="http://schemas.openxmlformats.org/officeDocument/2006/customXml" ds:itemID="{A4E1FEA6-248E-4BA3-B2AF-C03B3B10D0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TM33398600</Templat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Connaître son budget mensuel</vt:lpstr>
      <vt:lpstr>Suivi budget mensuel</vt:lpstr>
      <vt:lpstr>Parrainages et comparateurs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2020-10-16T05:02:30Z</dcterms:created>
  <dcterms:modified xsi:type="dcterms:W3CDTF">2022-05-04T19:32:06Z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