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23b684faec8110/GUILLAUME/INFINITY-M/LIVRE 2/PACK RESSOURCES GRATUITES/"/>
    </mc:Choice>
  </mc:AlternateContent>
  <xr:revisionPtr revIDLastSave="312" documentId="13_ncr:1_{60B2D0FC-EF23-4127-A284-09F5FC32B6C6}" xr6:coauthVersionLast="47" xr6:coauthVersionMax="47" xr10:uidLastSave="{7948686B-15F4-7E4C-974C-A5B723825556}"/>
  <bookViews>
    <workbookView xWindow="0" yWindow="680" windowWidth="29920" windowHeight="17500" xr2:uid="{00000000-000D-0000-FFFF-FFFF00000000}"/>
  </bookViews>
  <sheets>
    <sheet name="BUSINESS PLAN" sheetId="5" r:id="rId1"/>
  </sheets>
  <definedNames>
    <definedName name="BaseCA">#REF!</definedName>
    <definedName name="BET">#REF!</definedName>
    <definedName name="http___www.logic_immo.com_detail_vente_28c7c67c_5e7f_88be_f804_77cd363590db.htm" localSheetId="0">'BUSINESS PLAN'!$A$11</definedName>
    <definedName name="http___www.logic_immo.com_detail_vente_28c7c67c_5e7f_88be_f804_77cd363590db.htm">#REF!</definedName>
    <definedName name="_xlnm.Print_Titles" localSheetId="0">'BUSINESS PLAN'!$26:$28</definedName>
    <definedName name="Montage">#REF!</definedName>
    <definedName name="tva">#REF!</definedName>
    <definedName name="vrd">#REF!</definedName>
    <definedName name="_xlnm.Print_Area" localSheetId="0">'BUSINESS PLAN'!$A$1:$T$76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5" l="1"/>
  <c r="S6" i="5"/>
  <c r="C15" i="5"/>
  <c r="H12" i="5"/>
  <c r="G29" i="5" s="1"/>
  <c r="L65" i="5"/>
  <c r="M65" i="5" s="1"/>
  <c r="L53" i="5"/>
  <c r="M53" i="5" s="1"/>
  <c r="L76" i="5"/>
  <c r="M76" i="5" s="1"/>
  <c r="L75" i="5"/>
  <c r="L74" i="5"/>
  <c r="M74" i="5" s="1"/>
  <c r="L64" i="5"/>
  <c r="L63" i="5"/>
  <c r="M63" i="5" s="1"/>
  <c r="L62" i="5"/>
  <c r="M62" i="5" s="1"/>
  <c r="L52" i="5"/>
  <c r="M52" i="5" s="1"/>
  <c r="L51" i="5"/>
  <c r="M51" i="5" s="1"/>
  <c r="L50" i="5"/>
  <c r="M50" i="5" s="1"/>
  <c r="L39" i="5"/>
  <c r="M39" i="5" s="1"/>
  <c r="L40" i="5"/>
  <c r="L38" i="5"/>
  <c r="E9" i="5"/>
  <c r="L41" i="5"/>
  <c r="M41" i="5" s="1"/>
  <c r="L29" i="5"/>
  <c r="M29" i="5" s="1"/>
  <c r="L11" i="5"/>
  <c r="H7" i="5"/>
  <c r="H6" i="5"/>
  <c r="K9" i="5"/>
  <c r="K8" i="5"/>
  <c r="K11" i="5" s="1"/>
  <c r="N66" i="5"/>
  <c r="N54" i="5"/>
  <c r="N42" i="5"/>
  <c r="L42" i="5"/>
  <c r="M42" i="5" s="1"/>
  <c r="L43" i="5"/>
  <c r="M43" i="5" s="1"/>
  <c r="L44" i="5"/>
  <c r="M44" i="5" s="1"/>
  <c r="L45" i="5"/>
  <c r="M45" i="5" s="1"/>
  <c r="L46" i="5"/>
  <c r="M46" i="5" s="1"/>
  <c r="L47" i="5"/>
  <c r="L48" i="5"/>
  <c r="L49" i="5"/>
  <c r="M49" i="5" s="1"/>
  <c r="L54" i="5"/>
  <c r="M54" i="5" s="1"/>
  <c r="L55" i="5"/>
  <c r="L56" i="5"/>
  <c r="M56" i="5" s="1"/>
  <c r="L57" i="5"/>
  <c r="L58" i="5"/>
  <c r="M58" i="5" s="1"/>
  <c r="L59" i="5"/>
  <c r="M59" i="5" s="1"/>
  <c r="L60" i="5"/>
  <c r="L61" i="5"/>
  <c r="M61" i="5" s="1"/>
  <c r="L66" i="5"/>
  <c r="M66" i="5" s="1"/>
  <c r="L67" i="5"/>
  <c r="L68" i="5"/>
  <c r="L69" i="5"/>
  <c r="M69" i="5" s="1"/>
  <c r="L70" i="5"/>
  <c r="M70" i="5" s="1"/>
  <c r="L71" i="5"/>
  <c r="L72" i="5"/>
  <c r="M72" i="5" s="1"/>
  <c r="L73" i="5"/>
  <c r="M73" i="5" s="1"/>
  <c r="L37" i="5"/>
  <c r="M37" i="5" s="1"/>
  <c r="L36" i="5"/>
  <c r="M36" i="5" s="1"/>
  <c r="L35" i="5"/>
  <c r="M35" i="5" s="1"/>
  <c r="L34" i="5"/>
  <c r="L33" i="5"/>
  <c r="M33" i="5" s="1"/>
  <c r="L32" i="5"/>
  <c r="M32" i="5" s="1"/>
  <c r="L31" i="5"/>
  <c r="M31" i="5" s="1"/>
  <c r="L30" i="5"/>
  <c r="M30" i="5" s="1"/>
  <c r="S10" i="5"/>
  <c r="M68" i="5"/>
  <c r="S5" i="5"/>
  <c r="S7" i="5"/>
  <c r="S11" i="5"/>
  <c r="M55" i="5"/>
  <c r="C20" i="5"/>
  <c r="C18" i="5"/>
  <c r="S24" i="5" l="1"/>
  <c r="C21" i="5"/>
  <c r="C22" i="5" s="1"/>
  <c r="K13" i="5"/>
  <c r="O32" i="5" s="1"/>
  <c r="G40" i="5"/>
  <c r="O30" i="5"/>
  <c r="O61" i="5"/>
  <c r="O52" i="5"/>
  <c r="O36" i="5"/>
  <c r="O75" i="5"/>
  <c r="O67" i="5"/>
  <c r="O59" i="5"/>
  <c r="O51" i="5"/>
  <c r="O43" i="5"/>
  <c r="O35" i="5"/>
  <c r="O34" i="5"/>
  <c r="O47" i="5"/>
  <c r="O70" i="5"/>
  <c r="O49" i="5"/>
  <c r="O41" i="5"/>
  <c r="O33" i="5"/>
  <c r="O71" i="5"/>
  <c r="O46" i="5"/>
  <c r="O69" i="5"/>
  <c r="M34" i="5"/>
  <c r="M40" i="5"/>
  <c r="M47" i="5"/>
  <c r="M60" i="5"/>
  <c r="M48" i="5"/>
  <c r="M38" i="5"/>
  <c r="M64" i="5"/>
  <c r="M57" i="5"/>
  <c r="M67" i="5"/>
  <c r="M71" i="5"/>
  <c r="M75" i="5"/>
  <c r="O42" i="5" l="1"/>
  <c r="O50" i="5"/>
  <c r="O66" i="5"/>
  <c r="O58" i="5"/>
  <c r="O40" i="5"/>
  <c r="O37" i="5"/>
  <c r="O74" i="5"/>
  <c r="O62" i="5"/>
  <c r="O44" i="5"/>
  <c r="O39" i="5"/>
  <c r="O38" i="5"/>
  <c r="O55" i="5"/>
  <c r="O48" i="5"/>
  <c r="O57" i="5"/>
  <c r="O76" i="5"/>
  <c r="O56" i="5"/>
  <c r="O65" i="5"/>
  <c r="O45" i="5"/>
  <c r="O54" i="5"/>
  <c r="O64" i="5"/>
  <c r="O73" i="5"/>
  <c r="O29" i="5"/>
  <c r="O72" i="5"/>
  <c r="O68" i="5"/>
  <c r="O31" i="5"/>
  <c r="O60" i="5"/>
  <c r="O53" i="5"/>
  <c r="O63" i="5"/>
  <c r="G52" i="5"/>
  <c r="G64" i="5" s="1"/>
  <c r="B29" i="5"/>
  <c r="C29" i="5" s="1"/>
  <c r="P60" i="5" l="1"/>
  <c r="R60" i="5" s="1"/>
  <c r="P58" i="5"/>
  <c r="R58" i="5" s="1"/>
  <c r="P66" i="5"/>
  <c r="R66" i="5" s="1"/>
  <c r="P54" i="5"/>
  <c r="R54" i="5" s="1"/>
  <c r="P37" i="5"/>
  <c r="R37" i="5" s="1"/>
  <c r="P35" i="5"/>
  <c r="R35" i="5" s="1"/>
  <c r="P56" i="5"/>
  <c r="R56" i="5" s="1"/>
  <c r="P36" i="5"/>
  <c r="R36" i="5" s="1"/>
  <c r="P68" i="5"/>
  <c r="R68" i="5" s="1"/>
  <c r="P46" i="5"/>
  <c r="R46" i="5" s="1"/>
  <c r="P30" i="5"/>
  <c r="R30" i="5" s="1"/>
  <c r="P50" i="5"/>
  <c r="R50" i="5" s="1"/>
  <c r="P64" i="5"/>
  <c r="R64" i="5" s="1"/>
  <c r="P52" i="5"/>
  <c r="R52" i="5" s="1"/>
  <c r="P47" i="5"/>
  <c r="R47" i="5" s="1"/>
  <c r="P38" i="5"/>
  <c r="R38" i="5" s="1"/>
  <c r="P55" i="5"/>
  <c r="R55" i="5" s="1"/>
  <c r="P76" i="5"/>
  <c r="R76" i="5" s="1"/>
  <c r="P57" i="5"/>
  <c r="R57" i="5" s="1"/>
  <c r="P59" i="5"/>
  <c r="R59" i="5" s="1"/>
  <c r="P48" i="5"/>
  <c r="R48" i="5" s="1"/>
  <c r="P53" i="5"/>
  <c r="R53" i="5" s="1"/>
  <c r="P63" i="5"/>
  <c r="R63" i="5" s="1"/>
  <c r="P72" i="5"/>
  <c r="R72" i="5" s="1"/>
  <c r="P32" i="5"/>
  <c r="R32" i="5" s="1"/>
  <c r="P61" i="5"/>
  <c r="R61" i="5" s="1"/>
  <c r="P67" i="5"/>
  <c r="R67" i="5" s="1"/>
  <c r="P62" i="5"/>
  <c r="R62" i="5" s="1"/>
  <c r="P71" i="5"/>
  <c r="R71" i="5" s="1"/>
  <c r="D29" i="5"/>
  <c r="E29" i="5" s="1"/>
  <c r="P73" i="5"/>
  <c r="R73" i="5" s="1"/>
  <c r="P49" i="5"/>
  <c r="R49" i="5" s="1"/>
  <c r="P65" i="5"/>
  <c r="R65" i="5" s="1"/>
  <c r="P31" i="5"/>
  <c r="R31" i="5" s="1"/>
  <c r="P44" i="5"/>
  <c r="R44" i="5" s="1"/>
  <c r="P75" i="5"/>
  <c r="R75" i="5" s="1"/>
  <c r="P70" i="5"/>
  <c r="R70" i="5" s="1"/>
  <c r="P41" i="5"/>
  <c r="R41" i="5" s="1"/>
  <c r="P39" i="5"/>
  <c r="R39" i="5" s="1"/>
  <c r="P74" i="5"/>
  <c r="R74" i="5" s="1"/>
  <c r="P43" i="5"/>
  <c r="R43" i="5" s="1"/>
  <c r="P33" i="5"/>
  <c r="R33" i="5" s="1"/>
  <c r="P45" i="5"/>
  <c r="R45" i="5" s="1"/>
  <c r="P29" i="5"/>
  <c r="P34" i="5"/>
  <c r="R34" i="5" s="1"/>
  <c r="P69" i="5"/>
  <c r="R69" i="5" s="1"/>
  <c r="P42" i="5"/>
  <c r="R42" i="5" s="1"/>
  <c r="P51" i="5"/>
  <c r="R51" i="5" s="1"/>
  <c r="P40" i="5"/>
  <c r="R40" i="5" s="1"/>
  <c r="S52" i="5" l="1"/>
  <c r="T52" i="5" s="1"/>
  <c r="S64" i="5"/>
  <c r="T64" i="5" s="1"/>
  <c r="S76" i="5"/>
  <c r="T76" i="5" s="1"/>
  <c r="B30" i="5"/>
  <c r="C30" i="5" s="1"/>
  <c r="D30" i="5" s="1"/>
  <c r="E30" i="5" s="1"/>
  <c r="B31" i="5" s="1"/>
  <c r="R29" i="5"/>
  <c r="S40" i="5" s="1"/>
  <c r="G76" i="5"/>
  <c r="T40" i="5" l="1"/>
  <c r="C31" i="5"/>
  <c r="D31" i="5" s="1"/>
  <c r="E31" i="5" s="1"/>
  <c r="B32" i="5" s="1"/>
  <c r="C32" i="5" l="1"/>
  <c r="D32" i="5" s="1"/>
  <c r="E32" i="5" s="1"/>
  <c r="B33" i="5" s="1"/>
  <c r="C33" i="5" l="1"/>
  <c r="D33" i="5" s="1"/>
  <c r="E33" i="5" s="1"/>
  <c r="B34" i="5" s="1"/>
  <c r="C34" i="5" l="1"/>
  <c r="D34" i="5" s="1"/>
  <c r="E34" i="5" s="1"/>
  <c r="B35" i="5" s="1"/>
  <c r="C35" i="5" l="1"/>
  <c r="D35" i="5" s="1"/>
  <c r="E35" i="5" s="1"/>
  <c r="B36" i="5" s="1"/>
  <c r="C36" i="5" l="1"/>
  <c r="D36" i="5" s="1"/>
  <c r="E36" i="5" s="1"/>
  <c r="B37" i="5" s="1"/>
  <c r="C37" i="5" l="1"/>
  <c r="D37" i="5" s="1"/>
  <c r="E37" i="5" s="1"/>
  <c r="B38" i="5" s="1"/>
  <c r="C38" i="5" l="1"/>
  <c r="D38" i="5" s="1"/>
  <c r="E38" i="5" s="1"/>
  <c r="B39" i="5" s="1"/>
  <c r="C39" i="5" l="1"/>
  <c r="D39" i="5" s="1"/>
  <c r="E39" i="5" s="1"/>
  <c r="B40" i="5" s="1"/>
  <c r="C40" i="5" l="1"/>
  <c r="D40" i="5" s="1"/>
  <c r="E40" i="5" s="1"/>
  <c r="H29" i="5" l="1"/>
  <c r="I29" i="5" s="1"/>
  <c r="B41" i="5"/>
  <c r="C41" i="5" l="1"/>
  <c r="D41" i="5" s="1"/>
  <c r="E41" i="5" s="1"/>
  <c r="B42" i="5" s="1"/>
  <c r="C42" i="5" l="1"/>
  <c r="D42" i="5" s="1"/>
  <c r="E42" i="5" s="1"/>
  <c r="B43" i="5" s="1"/>
  <c r="C43" i="5" l="1"/>
  <c r="D43" i="5" s="1"/>
  <c r="E43" i="5" s="1"/>
  <c r="B44" i="5" s="1"/>
  <c r="C44" i="5" l="1"/>
  <c r="D44" i="5" s="1"/>
  <c r="E44" i="5" s="1"/>
  <c r="B45" i="5" s="1"/>
  <c r="C45" i="5" l="1"/>
  <c r="D45" i="5" s="1"/>
  <c r="E45" i="5" s="1"/>
  <c r="B46" i="5" s="1"/>
  <c r="C46" i="5" l="1"/>
  <c r="D46" i="5" s="1"/>
  <c r="E46" i="5" s="1"/>
  <c r="B47" i="5" s="1"/>
  <c r="C47" i="5" l="1"/>
  <c r="D47" i="5" s="1"/>
  <c r="E47" i="5" s="1"/>
  <c r="B48" i="5" s="1"/>
  <c r="C48" i="5" l="1"/>
  <c r="D48" i="5" s="1"/>
  <c r="E48" i="5" s="1"/>
  <c r="B49" i="5" s="1"/>
  <c r="C49" i="5" l="1"/>
  <c r="D49" i="5" s="1"/>
  <c r="E49" i="5" s="1"/>
  <c r="B50" i="5" s="1"/>
  <c r="C50" i="5" l="1"/>
  <c r="D50" i="5" s="1"/>
  <c r="E50" i="5" s="1"/>
  <c r="B51" i="5" s="1"/>
  <c r="C51" i="5" l="1"/>
  <c r="D51" i="5" s="1"/>
  <c r="E51" i="5" s="1"/>
  <c r="B52" i="5" s="1"/>
  <c r="C52" i="5" l="1"/>
  <c r="D52" i="5" s="1"/>
  <c r="E52" i="5" s="1"/>
  <c r="H40" i="5" l="1"/>
  <c r="B53" i="5"/>
  <c r="C53" i="5" l="1"/>
  <c r="D53" i="5" s="1"/>
  <c r="E53" i="5" s="1"/>
  <c r="B54" i="5" s="1"/>
  <c r="C54" i="5" l="1"/>
  <c r="D54" i="5" s="1"/>
  <c r="E54" i="5" s="1"/>
  <c r="B55" i="5" s="1"/>
  <c r="C55" i="5" l="1"/>
  <c r="D55" i="5" s="1"/>
  <c r="E55" i="5" s="1"/>
  <c r="B56" i="5" s="1"/>
  <c r="C56" i="5" l="1"/>
  <c r="D56" i="5" s="1"/>
  <c r="E56" i="5" s="1"/>
  <c r="B57" i="5" s="1"/>
  <c r="C57" i="5" l="1"/>
  <c r="D57" i="5" s="1"/>
  <c r="E57" i="5" s="1"/>
  <c r="B58" i="5" s="1"/>
  <c r="C58" i="5" l="1"/>
  <c r="D58" i="5" s="1"/>
  <c r="E58" i="5" s="1"/>
  <c r="B59" i="5" s="1"/>
  <c r="C59" i="5" l="1"/>
  <c r="D59" i="5" s="1"/>
  <c r="E59" i="5" s="1"/>
  <c r="B60" i="5" s="1"/>
  <c r="C60" i="5" l="1"/>
  <c r="D60" i="5" s="1"/>
  <c r="E60" i="5" s="1"/>
  <c r="B61" i="5" s="1"/>
  <c r="C61" i="5" l="1"/>
  <c r="D61" i="5" s="1"/>
  <c r="E61" i="5" s="1"/>
  <c r="B62" i="5" s="1"/>
  <c r="C62" i="5" l="1"/>
  <c r="D62" i="5" s="1"/>
  <c r="E62" i="5" s="1"/>
  <c r="B63" i="5" s="1"/>
  <c r="C63" i="5" l="1"/>
  <c r="D63" i="5" s="1"/>
  <c r="E63" i="5" s="1"/>
  <c r="B64" i="5" s="1"/>
  <c r="C64" i="5" l="1"/>
  <c r="D64" i="5" s="1"/>
  <c r="E64" i="5" s="1"/>
  <c r="H52" i="5" l="1"/>
  <c r="I52" i="5" s="1"/>
  <c r="B65" i="5"/>
  <c r="C65" i="5" l="1"/>
  <c r="D65" i="5" s="1"/>
  <c r="E65" i="5" s="1"/>
  <c r="B66" i="5" s="1"/>
  <c r="C66" i="5" l="1"/>
  <c r="D66" i="5" s="1"/>
  <c r="E66" i="5" s="1"/>
  <c r="B67" i="5" s="1"/>
  <c r="C67" i="5" l="1"/>
  <c r="D67" i="5" s="1"/>
  <c r="E67" i="5" s="1"/>
  <c r="B68" i="5" s="1"/>
  <c r="C68" i="5" l="1"/>
  <c r="D68" i="5" s="1"/>
  <c r="E68" i="5" s="1"/>
  <c r="B69" i="5" s="1"/>
  <c r="C69" i="5" l="1"/>
  <c r="D69" i="5" s="1"/>
  <c r="E69" i="5" s="1"/>
  <c r="B70" i="5" s="1"/>
  <c r="C70" i="5" l="1"/>
  <c r="D70" i="5" s="1"/>
  <c r="E70" i="5" s="1"/>
  <c r="B71" i="5" s="1"/>
  <c r="C71" i="5" l="1"/>
  <c r="D71" i="5" s="1"/>
  <c r="E71" i="5" s="1"/>
  <c r="B72" i="5" s="1"/>
  <c r="C72" i="5" l="1"/>
  <c r="D72" i="5" s="1"/>
  <c r="E72" i="5" s="1"/>
  <c r="B73" i="5" s="1"/>
  <c r="C73" i="5" l="1"/>
  <c r="D73" i="5" s="1"/>
  <c r="E73" i="5" s="1"/>
  <c r="B74" i="5" s="1"/>
  <c r="C74" i="5" l="1"/>
  <c r="D74" i="5" s="1"/>
  <c r="E74" i="5" s="1"/>
  <c r="B75" i="5" s="1"/>
  <c r="C75" i="5" l="1"/>
  <c r="D75" i="5" s="1"/>
  <c r="E75" i="5" s="1"/>
  <c r="B76" i="5" s="1"/>
  <c r="C76" i="5" l="1"/>
  <c r="D76" i="5" s="1"/>
  <c r="E76" i="5" s="1"/>
  <c r="H64" i="5" l="1"/>
  <c r="I64" i="5"/>
</calcChain>
</file>

<file path=xl/sharedStrings.xml><?xml version="1.0" encoding="utf-8"?>
<sst xmlns="http://schemas.openxmlformats.org/spreadsheetml/2006/main" count="180" uniqueCount="128">
  <si>
    <t>HYPOTHESES INVESTISSEMENT</t>
  </si>
  <si>
    <t xml:space="preserve">Lieu d'investissement </t>
  </si>
  <si>
    <t>Recette</t>
  </si>
  <si>
    <t>Prix moyen achat / m²</t>
  </si>
  <si>
    <t>Durée des travaux en mois</t>
  </si>
  <si>
    <t>Taxe Foncière</t>
  </si>
  <si>
    <t>Frais de Gestion</t>
  </si>
  <si>
    <t xml:space="preserve">Fixe </t>
  </si>
  <si>
    <t xml:space="preserve">Variable </t>
  </si>
  <si>
    <t>Abattement sur revenus locatifs</t>
  </si>
  <si>
    <t xml:space="preserve">Prix vente / m² après travaux </t>
  </si>
  <si>
    <t>CALCUL DES MENSUALITES</t>
  </si>
  <si>
    <t xml:space="preserve">Frais de co-propriété / Charges </t>
  </si>
  <si>
    <t>Montant du prêt =</t>
  </si>
  <si>
    <t xml:space="preserve">Taux = </t>
  </si>
  <si>
    <t>Assurance =</t>
  </si>
  <si>
    <t>TEG =</t>
  </si>
  <si>
    <t>Durée du crédit (an)</t>
  </si>
  <si>
    <t>Nombre de mensualités  =</t>
  </si>
  <si>
    <t xml:space="preserve">Mensualité = </t>
  </si>
  <si>
    <t xml:space="preserve">Coût du crédit </t>
  </si>
  <si>
    <t xml:space="preserve">Pénalité de remboursement anticipé du prêt </t>
  </si>
  <si>
    <t xml:space="preserve">Croissance moyenne annuelle de la valeur du bien </t>
  </si>
  <si>
    <t xml:space="preserve">REMBOURSEMENT DE LA DETTE </t>
  </si>
  <si>
    <t xml:space="preserve">VALEUR DU PATRIMOINE </t>
  </si>
  <si>
    <t>Mois M</t>
  </si>
  <si>
    <t xml:space="preserve">Intérêts </t>
  </si>
  <si>
    <t xml:space="preserve">Capital </t>
  </si>
  <si>
    <t xml:space="preserve">Capital restant du </t>
  </si>
  <si>
    <t xml:space="preserve">Année N </t>
  </si>
  <si>
    <t xml:space="preserve">Valeur du bien </t>
  </si>
  <si>
    <t>Pénalité de remboursement du prêt</t>
  </si>
  <si>
    <t>Patrimoine net</t>
  </si>
  <si>
    <t xml:space="preserve">Revenus locatifs </t>
  </si>
  <si>
    <t xml:space="preserve">Taxe foncière </t>
  </si>
  <si>
    <t xml:space="preserve">Frais de gestion </t>
  </si>
  <si>
    <t xml:space="preserve">Remboursement mensualités </t>
  </si>
  <si>
    <t xml:space="preserve">Maintenance / Entretien </t>
  </si>
  <si>
    <t>Cash Flow</t>
  </si>
  <si>
    <t xml:space="preserve">RN avant impôt </t>
  </si>
  <si>
    <t>Mois 1</t>
  </si>
  <si>
    <t xml:space="preserve">Année 1 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</si>
  <si>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</si>
  <si>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</si>
  <si>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</si>
  <si>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</si>
  <si>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</si>
  <si>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</si>
  <si>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</si>
  <si>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</si>
  <si>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</si>
  <si>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</si>
  <si>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</si>
  <si>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Année 2</t>
  </si>
  <si>
    <t>Mois 13</t>
  </si>
  <si>
    <t>Mois 14</t>
  </si>
  <si>
    <t>Mois 15</t>
  </si>
  <si>
    <t>Mois 16</t>
  </si>
  <si>
    <t>Mois 17</t>
  </si>
  <si>
    <t>Mois 18</t>
  </si>
  <si>
    <t>Mois 19</t>
  </si>
  <si>
    <t>Mois 20</t>
  </si>
  <si>
    <t>Mois 21</t>
  </si>
  <si>
    <t>Mois 22</t>
  </si>
  <si>
    <t>Mois 23</t>
  </si>
  <si>
    <t>Mois 24</t>
  </si>
  <si>
    <t>Année 3</t>
  </si>
  <si>
    <t>Mois 25</t>
  </si>
  <si>
    <t>Mois 26</t>
  </si>
  <si>
    <t>Mois 27</t>
  </si>
  <si>
    <t>Mois 28</t>
  </si>
  <si>
    <t>Mois 29</t>
  </si>
  <si>
    <t>Mois 30</t>
  </si>
  <si>
    <t>Mois 31</t>
  </si>
  <si>
    <t>Mois 32</t>
  </si>
  <si>
    <t>Mois 33</t>
  </si>
  <si>
    <t>Mois 34</t>
  </si>
  <si>
    <t>Mois 35</t>
  </si>
  <si>
    <t>Mois 36</t>
  </si>
  <si>
    <t>Année 4</t>
  </si>
  <si>
    <t>Mois 37</t>
  </si>
  <si>
    <t>Mois 38</t>
  </si>
  <si>
    <t>Mois 39</t>
  </si>
  <si>
    <t>Mois 40</t>
  </si>
  <si>
    <t>Mois 41</t>
  </si>
  <si>
    <t>Mois 42</t>
  </si>
  <si>
    <t>Mois 43</t>
  </si>
  <si>
    <t>Mois 44</t>
  </si>
  <si>
    <t>Mois 45</t>
  </si>
  <si>
    <t>Mois 46</t>
  </si>
  <si>
    <t>Mois 47</t>
  </si>
  <si>
    <t>Mois 48</t>
  </si>
  <si>
    <t>Année 5</t>
  </si>
  <si>
    <t>Montant des revenus locatifs annuels</t>
  </si>
  <si>
    <t>Loyer mensuel</t>
  </si>
  <si>
    <t>Type de location</t>
  </si>
  <si>
    <t>Villa principale</t>
  </si>
  <si>
    <t>Mois réel</t>
  </si>
  <si>
    <t>Consommations annuelles d'énergie</t>
  </si>
  <si>
    <t>nbr mois ou semaines</t>
  </si>
  <si>
    <t>Cash Flow annuel</t>
  </si>
  <si>
    <t xml:space="preserve">PLAN DE TRESORERIE </t>
  </si>
  <si>
    <t>Total revenus locatifs annuels  =</t>
  </si>
  <si>
    <t xml:space="preserve">Dommage Ouvrage </t>
  </si>
  <si>
    <t>MONTANTS DU FINACEMENT BANCAIRE</t>
  </si>
  <si>
    <t xml:space="preserve">Total du montant à financer = </t>
  </si>
  <si>
    <t>Saisonière semaine de juin à fin septembre</t>
  </si>
  <si>
    <t xml:space="preserve">3 Pièces en location partie basse  de la villa </t>
  </si>
  <si>
    <t>Mensuelle sur l'année</t>
  </si>
  <si>
    <t>Mensuelle de début septembre à fin mai</t>
  </si>
  <si>
    <t>Abattement sur les revenus locatifs</t>
  </si>
  <si>
    <t>Internet 80€/mois</t>
  </si>
  <si>
    <t>Assurance  120€/mois</t>
  </si>
  <si>
    <t>Coût Travaux / m² TTC</t>
  </si>
  <si>
    <t>X</t>
  </si>
  <si>
    <t>Surface en m²</t>
  </si>
  <si>
    <t>Apport (20%)</t>
  </si>
  <si>
    <t xml:space="preserve">Bureaux d'entreprise </t>
  </si>
  <si>
    <t>Saisonière semaine de début juin à fin août</t>
  </si>
  <si>
    <t>Totaux /an</t>
  </si>
  <si>
    <t>Charges mensuelles</t>
  </si>
  <si>
    <t>Consommation d'eau</t>
  </si>
  <si>
    <t xml:space="preserve">Montant de la charge foncière </t>
  </si>
  <si>
    <t xml:space="preserve">Montant des Travaux TTC + honoraires </t>
  </si>
  <si>
    <t xml:space="preserve">Montant à rembourser  </t>
  </si>
  <si>
    <t>Valeur du bien après travaux</t>
  </si>
  <si>
    <t xml:space="preserve">Expert comptable/ avocat fiscaliste  </t>
  </si>
  <si>
    <t>BUSINESS PLAN DE L'OPERATION - LOCATIFS - NOM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</si>
</sst>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[$-40C]mmm\-yy;@"/>
    <numFmt numFmtId="166" formatCode="#,##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b/>
      <sz val="1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3" tint="0.59999389629810485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0070C0"/>
      <name val="Verdana"/>
      <family val="2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ashDotDot">
        <color auto="1"/>
      </bottom>
      <diagonal/>
    </border>
    <border>
      <left/>
      <right style="thin">
        <color auto="1"/>
      </right>
      <top style="double">
        <color auto="1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DotDot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ashDotDot">
        <color auto="1"/>
      </bottom>
      <diagonal/>
    </border>
    <border>
      <left style="double">
        <color auto="1"/>
      </left>
      <right style="thin">
        <color auto="1"/>
      </right>
      <top style="dashDotDot">
        <color auto="1"/>
      </top>
      <bottom style="dashDotDot">
        <color auto="1"/>
      </bottom>
      <diagonal/>
    </border>
    <border>
      <left/>
      <right style="thin">
        <color auto="1"/>
      </right>
      <top style="dashDotDot">
        <color auto="1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dashDotDot">
        <color auto="1"/>
      </top>
      <bottom style="dashDotDot">
        <color auto="1"/>
      </bottom>
      <diagonal/>
    </border>
    <border>
      <left style="thin">
        <color auto="1"/>
      </left>
      <right style="double">
        <color auto="1"/>
      </right>
      <top style="dashDotDot">
        <color auto="1"/>
      </top>
      <bottom style="dashDotDot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auto="1"/>
      </left>
      <right style="thin">
        <color auto="1"/>
      </right>
      <top/>
      <bottom style="dashDotDot">
        <color auto="1"/>
      </bottom>
      <diagonal/>
    </border>
    <border>
      <left style="thin">
        <color indexed="64"/>
      </left>
      <right style="thick">
        <color indexed="64"/>
      </right>
      <top/>
      <bottom style="dashDotDot">
        <color indexed="64"/>
      </bottom>
      <diagonal/>
    </border>
    <border>
      <left style="thick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ck">
        <color indexed="64"/>
      </right>
      <top style="dashDotDot">
        <color indexed="64"/>
      </top>
      <bottom style="dashDotDot">
        <color indexed="64"/>
      </bottom>
      <diagonal/>
    </border>
    <border>
      <left style="thick">
        <color indexed="64"/>
      </left>
      <right style="thin">
        <color indexed="64"/>
      </right>
      <top style="dashDotDot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ashDotDot">
        <color indexed="64"/>
      </top>
      <bottom style="thick">
        <color indexed="64"/>
      </bottom>
      <diagonal/>
    </border>
    <border>
      <left style="double">
        <color auto="1"/>
      </left>
      <right style="thin">
        <color auto="1"/>
      </right>
      <top style="dashDotDot">
        <color auto="1"/>
      </top>
      <bottom style="double">
        <color auto="1"/>
      </bottom>
      <diagonal/>
    </border>
    <border>
      <left/>
      <right style="thin">
        <color auto="1"/>
      </right>
      <top style="dashDotDot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ashDotDot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DotDot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dashDot">
        <color auto="1"/>
      </bottom>
      <diagonal/>
    </border>
    <border>
      <left style="thin">
        <color auto="1"/>
      </left>
      <right style="thin">
        <color auto="1"/>
      </right>
      <top/>
      <bottom style="dashDot">
        <color auto="1"/>
      </bottom>
      <diagonal/>
    </border>
    <border>
      <left style="thin">
        <color auto="1"/>
      </left>
      <right style="medium">
        <color auto="1"/>
      </right>
      <top/>
      <bottom style="dashDot">
        <color auto="1"/>
      </bottom>
      <diagonal/>
    </border>
    <border>
      <left style="thin">
        <color auto="1"/>
      </left>
      <right/>
      <top/>
      <bottom style="dashDot">
        <color auto="1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dashDot">
        <color auto="1"/>
      </bottom>
      <diagonal/>
    </border>
    <border>
      <left style="medium">
        <color auto="1"/>
      </left>
      <right style="thin">
        <color auto="1"/>
      </right>
      <top style="dashDot">
        <color auto="1"/>
      </top>
      <bottom style="dashDot">
        <color auto="1"/>
      </bottom>
      <diagonal/>
    </border>
    <border>
      <left style="thin">
        <color auto="1"/>
      </left>
      <right style="medium">
        <color auto="1"/>
      </right>
      <top style="dashDot">
        <color auto="1"/>
      </top>
      <bottom style="dashDot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ashDot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ashDot">
        <color auto="1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 wrapText="1"/>
    </xf>
    <xf numFmtId="10" fontId="0" fillId="0" borderId="0" xfId="0" applyNumberFormat="1" applyAlignment="1">
      <alignment horizontal="center" vertical="center"/>
    </xf>
    <xf numFmtId="0" fontId="2" fillId="0" borderId="0" xfId="1"/>
    <xf numFmtId="164" fontId="0" fillId="0" borderId="10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0" fontId="0" fillId="0" borderId="13" xfId="0" applyNumberFormat="1" applyBorder="1" applyAlignment="1">
      <alignment horizontal="center" vertical="center"/>
    </xf>
    <xf numFmtId="0" fontId="1" fillId="0" borderId="0" xfId="0" applyFont="1"/>
    <xf numFmtId="164" fontId="0" fillId="0" borderId="14" xfId="0" applyNumberFormat="1" applyBorder="1" applyAlignment="1">
      <alignment vertical="center" wrapText="1"/>
    </xf>
    <xf numFmtId="3" fontId="0" fillId="0" borderId="15" xfId="0" applyNumberFormat="1" applyBorder="1" applyAlignment="1">
      <alignment vertical="center" wrapText="1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2" fillId="0" borderId="0" xfId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0" fontId="0" fillId="0" borderId="24" xfId="0" applyBorder="1" applyAlignment="1">
      <alignment vertical="center" wrapText="1"/>
    </xf>
    <xf numFmtId="164" fontId="2" fillId="0" borderId="25" xfId="1" applyNumberFormat="1" applyBorder="1" applyAlignment="1">
      <alignment vertical="center"/>
    </xf>
    <xf numFmtId="164" fontId="2" fillId="0" borderId="26" xfId="1" applyNumberFormat="1" applyBorder="1" applyAlignment="1">
      <alignment vertical="center"/>
    </xf>
    <xf numFmtId="0" fontId="5" fillId="0" borderId="0" xfId="2"/>
    <xf numFmtId="0" fontId="6" fillId="0" borderId="0" xfId="0" applyFont="1" applyAlignment="1">
      <alignment vertical="center"/>
    </xf>
    <xf numFmtId="0" fontId="0" fillId="0" borderId="27" xfId="0" applyBorder="1" applyAlignment="1">
      <alignment vertical="center" wrapText="1"/>
    </xf>
    <xf numFmtId="164" fontId="6" fillId="0" borderId="16" xfId="0" applyNumberFormat="1" applyFon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3" fillId="0" borderId="27" xfId="0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0" fillId="0" borderId="28" xfId="0" applyBorder="1" applyAlignment="1">
      <alignment vertical="center"/>
    </xf>
    <xf numFmtId="0" fontId="1" fillId="0" borderId="29" xfId="0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0" fontId="0" fillId="0" borderId="16" xfId="0" applyBorder="1" applyAlignment="1">
      <alignment horizontal="right" vertical="center"/>
    </xf>
    <xf numFmtId="164" fontId="0" fillId="0" borderId="32" xfId="0" applyNumberFormat="1" applyBorder="1" applyAlignment="1">
      <alignment vertical="center" wrapText="1"/>
    </xf>
    <xf numFmtId="3" fontId="0" fillId="0" borderId="33" xfId="0" applyNumberFormat="1" applyBorder="1" applyAlignment="1">
      <alignment vertical="center" wrapText="1"/>
    </xf>
    <xf numFmtId="0" fontId="0" fillId="0" borderId="34" xfId="0" applyBorder="1" applyAlignment="1">
      <alignment vertical="center"/>
    </xf>
    <xf numFmtId="164" fontId="0" fillId="0" borderId="34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0" fontId="0" fillId="3" borderId="36" xfId="0" applyFill="1" applyBorder="1"/>
    <xf numFmtId="0" fontId="0" fillId="3" borderId="37" xfId="0" applyFill="1" applyBorder="1" applyAlignment="1">
      <alignment horizontal="center"/>
    </xf>
    <xf numFmtId="10" fontId="6" fillId="3" borderId="38" xfId="0" applyNumberFormat="1" applyFont="1" applyFill="1" applyBorder="1"/>
    <xf numFmtId="0" fontId="0" fillId="0" borderId="0" xfId="0" applyAlignment="1">
      <alignment wrapText="1"/>
    </xf>
    <xf numFmtId="164" fontId="1" fillId="0" borderId="0" xfId="0" applyNumberFormat="1" applyFont="1" applyAlignment="1">
      <alignment vertical="center"/>
    </xf>
    <xf numFmtId="0" fontId="0" fillId="3" borderId="39" xfId="0" applyFill="1" applyBorder="1"/>
    <xf numFmtId="0" fontId="0" fillId="3" borderId="3" xfId="0" applyFill="1" applyBorder="1" applyAlignment="1">
      <alignment horizontal="center"/>
    </xf>
    <xf numFmtId="0" fontId="0" fillId="3" borderId="40" xfId="0" applyFill="1" applyBorder="1"/>
    <xf numFmtId="0" fontId="8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0" fillId="2" borderId="41" xfId="0" applyFill="1" applyBorder="1"/>
    <xf numFmtId="164" fontId="0" fillId="2" borderId="42" xfId="0" applyNumberFormat="1" applyFill="1" applyBorder="1"/>
    <xf numFmtId="164" fontId="0" fillId="2" borderId="43" xfId="0" applyNumberFormat="1" applyFill="1" applyBorder="1"/>
    <xf numFmtId="164" fontId="0" fillId="3" borderId="41" xfId="0" applyNumberFormat="1" applyFill="1" applyBorder="1"/>
    <xf numFmtId="0" fontId="3" fillId="4" borderId="41" xfId="0" applyFont="1" applyFill="1" applyBorder="1"/>
    <xf numFmtId="164" fontId="3" fillId="4" borderId="45" xfId="0" applyNumberFormat="1" applyFont="1" applyFill="1" applyBorder="1"/>
    <xf numFmtId="0" fontId="3" fillId="0" borderId="0" xfId="0" applyFont="1"/>
    <xf numFmtId="0" fontId="0" fillId="2" borderId="46" xfId="0" applyFill="1" applyBorder="1"/>
    <xf numFmtId="164" fontId="0" fillId="2" borderId="45" xfId="0" applyNumberFormat="1" applyFill="1" applyBorder="1"/>
    <xf numFmtId="164" fontId="0" fillId="2" borderId="47" xfId="0" applyNumberFormat="1" applyFill="1" applyBorder="1"/>
    <xf numFmtId="164" fontId="0" fillId="3" borderId="48" xfId="0" applyNumberFormat="1" applyFill="1" applyBorder="1"/>
    <xf numFmtId="0" fontId="3" fillId="4" borderId="46" xfId="0" applyFont="1" applyFill="1" applyBorder="1"/>
    <xf numFmtId="9" fontId="0" fillId="0" borderId="0" xfId="0" applyNumberFormat="1"/>
    <xf numFmtId="164" fontId="0" fillId="3" borderId="46" xfId="0" applyNumberFormat="1" applyFill="1" applyBorder="1"/>
    <xf numFmtId="164" fontId="3" fillId="0" borderId="0" xfId="0" applyNumberFormat="1" applyFont="1"/>
    <xf numFmtId="165" fontId="3" fillId="4" borderId="45" xfId="0" applyNumberFormat="1" applyFont="1" applyFill="1" applyBorder="1"/>
    <xf numFmtId="0" fontId="0" fillId="0" borderId="0" xfId="0" applyAlignment="1">
      <alignment horizontal="center"/>
    </xf>
    <xf numFmtId="165" fontId="3" fillId="4" borderId="42" xfId="0" applyNumberFormat="1" applyFont="1" applyFill="1" applyBorder="1"/>
    <xf numFmtId="164" fontId="3" fillId="4" borderId="42" xfId="0" applyNumberFormat="1" applyFont="1" applyFill="1" applyBorder="1"/>
    <xf numFmtId="0" fontId="0" fillId="2" borderId="50" xfId="0" applyFill="1" applyBorder="1" applyAlignment="1">
      <alignment vertical="center"/>
    </xf>
    <xf numFmtId="164" fontId="0" fillId="2" borderId="51" xfId="0" applyNumberFormat="1" applyFill="1" applyBorder="1" applyAlignment="1">
      <alignment horizontal="center" vertical="center"/>
    </xf>
    <xf numFmtId="164" fontId="0" fillId="2" borderId="52" xfId="0" applyNumberFormat="1" applyFill="1" applyBorder="1" applyAlignment="1">
      <alignment horizontal="center" vertical="center"/>
    </xf>
    <xf numFmtId="164" fontId="0" fillId="3" borderId="50" xfId="0" applyNumberFormat="1" applyFill="1" applyBorder="1" applyAlignment="1">
      <alignment horizontal="left" vertical="center"/>
    </xf>
    <xf numFmtId="164" fontId="0" fillId="3" borderId="51" xfId="0" applyNumberFormat="1" applyFill="1" applyBorder="1" applyAlignment="1">
      <alignment horizontal="center" vertical="center"/>
    </xf>
    <xf numFmtId="164" fontId="0" fillId="3" borderId="53" xfId="0" applyNumberFormat="1" applyFill="1" applyBorder="1" applyAlignment="1">
      <alignment horizontal="center" vertical="center" wrapText="1"/>
    </xf>
    <xf numFmtId="164" fontId="0" fillId="3" borderId="52" xfId="0" applyNumberFormat="1" applyFill="1" applyBorder="1" applyAlignment="1">
      <alignment horizontal="center" vertical="center"/>
    </xf>
    <xf numFmtId="0" fontId="3" fillId="4" borderId="50" xfId="0" applyFont="1" applyFill="1" applyBorder="1" applyAlignment="1">
      <alignment vertical="center"/>
    </xf>
    <xf numFmtId="165" fontId="3" fillId="4" borderId="51" xfId="0" applyNumberFormat="1" applyFont="1" applyFill="1" applyBorder="1" applyAlignment="1">
      <alignment vertical="center" wrapText="1"/>
    </xf>
    <xf numFmtId="164" fontId="3" fillId="4" borderId="51" xfId="0" applyNumberFormat="1" applyFont="1" applyFill="1" applyBorder="1" applyAlignment="1">
      <alignment vertic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vertical="center" wrapText="1"/>
    </xf>
    <xf numFmtId="0" fontId="3" fillId="4" borderId="51" xfId="0" applyFont="1" applyFill="1" applyBorder="1" applyAlignment="1">
      <alignment vertical="center"/>
    </xf>
    <xf numFmtId="0" fontId="3" fillId="2" borderId="46" xfId="0" applyFont="1" applyFill="1" applyBorder="1"/>
    <xf numFmtId="164" fontId="3" fillId="2" borderId="45" xfId="0" applyNumberFormat="1" applyFont="1" applyFill="1" applyBorder="1"/>
    <xf numFmtId="164" fontId="3" fillId="2" borderId="47" xfId="0" applyNumberFormat="1" applyFont="1" applyFill="1" applyBorder="1"/>
    <xf numFmtId="164" fontId="3" fillId="3" borderId="46" xfId="0" applyNumberFormat="1" applyFont="1" applyFill="1" applyBorder="1"/>
    <xf numFmtId="0" fontId="3" fillId="4" borderId="52" xfId="0" applyFont="1" applyFill="1" applyBorder="1" applyAlignment="1">
      <alignment vertical="center"/>
    </xf>
    <xf numFmtId="0" fontId="3" fillId="4" borderId="43" xfId="0" applyFont="1" applyFill="1" applyBorder="1"/>
    <xf numFmtId="0" fontId="3" fillId="4" borderId="47" xfId="0" applyFont="1" applyFill="1" applyBorder="1"/>
    <xf numFmtId="164" fontId="3" fillId="4" borderId="47" xfId="0" applyNumberFormat="1" applyFont="1" applyFill="1" applyBorder="1"/>
    <xf numFmtId="0" fontId="3" fillId="4" borderId="54" xfId="0" applyFont="1" applyFill="1" applyBorder="1"/>
    <xf numFmtId="164" fontId="3" fillId="4" borderId="55" xfId="0" applyNumberFormat="1" applyFont="1" applyFill="1" applyBorder="1"/>
    <xf numFmtId="164" fontId="3" fillId="4" borderId="56" xfId="0" applyNumberFormat="1" applyFont="1" applyFill="1" applyBorder="1"/>
    <xf numFmtId="166" fontId="0" fillId="3" borderId="42" xfId="0" applyNumberFormat="1" applyFill="1" applyBorder="1" applyAlignment="1">
      <alignment horizontal="center"/>
    </xf>
    <xf numFmtId="166" fontId="0" fillId="3" borderId="44" xfId="0" applyNumberFormat="1" applyFill="1" applyBorder="1" applyAlignment="1">
      <alignment horizontal="center"/>
    </xf>
    <xf numFmtId="166" fontId="0" fillId="3" borderId="43" xfId="0" applyNumberFormat="1" applyFill="1" applyBorder="1"/>
    <xf numFmtId="166" fontId="0" fillId="3" borderId="2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6" fontId="0" fillId="3" borderId="49" xfId="0" applyNumberFormat="1" applyFill="1" applyBorder="1"/>
    <xf numFmtId="166" fontId="0" fillId="3" borderId="45" xfId="0" applyNumberFormat="1" applyFill="1" applyBorder="1" applyAlignment="1">
      <alignment horizontal="center"/>
    </xf>
    <xf numFmtId="166" fontId="0" fillId="3" borderId="47" xfId="0" applyNumberFormat="1" applyFill="1" applyBorder="1"/>
    <xf numFmtId="166" fontId="3" fillId="3" borderId="45" xfId="0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164" fontId="9" fillId="0" borderId="0" xfId="1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7" fillId="0" borderId="0" xfId="0" applyFont="1"/>
    <xf numFmtId="10" fontId="6" fillId="0" borderId="0" xfId="0" applyNumberFormat="1" applyFont="1"/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right" vertical="center"/>
    </xf>
    <xf numFmtId="164" fontId="0" fillId="0" borderId="59" xfId="0" applyNumberFormat="1" applyBorder="1" applyAlignment="1">
      <alignment horizontal="right" vertical="center"/>
    </xf>
    <xf numFmtId="0" fontId="0" fillId="0" borderId="58" xfId="0" applyBorder="1" applyAlignment="1">
      <alignment vertical="center" wrapText="1"/>
    </xf>
    <xf numFmtId="164" fontId="0" fillId="0" borderId="59" xfId="0" applyNumberFormat="1" applyBorder="1" applyAlignment="1">
      <alignment vertical="center"/>
    </xf>
    <xf numFmtId="0" fontId="0" fillId="0" borderId="59" xfId="0" applyBorder="1" applyAlignment="1">
      <alignment vertical="center"/>
    </xf>
    <xf numFmtId="164" fontId="3" fillId="0" borderId="59" xfId="0" applyNumberFormat="1" applyFont="1" applyBorder="1" applyAlignment="1">
      <alignment vertical="center"/>
    </xf>
    <xf numFmtId="0" fontId="0" fillId="0" borderId="58" xfId="0" applyBorder="1" applyAlignment="1">
      <alignment horizontal="left" vertical="center" wrapText="1"/>
    </xf>
    <xf numFmtId="10" fontId="0" fillId="0" borderId="59" xfId="0" applyNumberFormat="1" applyBorder="1" applyAlignment="1">
      <alignment horizontal="right" vertical="center"/>
    </xf>
    <xf numFmtId="164" fontId="3" fillId="0" borderId="59" xfId="0" applyNumberFormat="1" applyFont="1" applyBorder="1" applyAlignment="1">
      <alignment horizontal="right" vertical="center"/>
    </xf>
    <xf numFmtId="0" fontId="0" fillId="0" borderId="60" xfId="0" applyBorder="1" applyAlignment="1">
      <alignment horizontal="left" vertical="center"/>
    </xf>
    <xf numFmtId="164" fontId="0" fillId="0" borderId="61" xfId="0" applyNumberForma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166" fontId="2" fillId="0" borderId="59" xfId="1" applyNumberFormat="1" applyBorder="1" applyAlignment="1">
      <alignment vertical="center"/>
    </xf>
    <xf numFmtId="166" fontId="2" fillId="0" borderId="61" xfId="1" applyNumberFormat="1" applyBorder="1" applyAlignment="1">
      <alignment vertical="center"/>
    </xf>
    <xf numFmtId="164" fontId="2" fillId="0" borderId="23" xfId="1" applyNumberFormat="1" applyBorder="1"/>
    <xf numFmtId="10" fontId="0" fillId="0" borderId="59" xfId="0" applyNumberFormat="1" applyBorder="1" applyAlignment="1">
      <alignment horizontal="right"/>
    </xf>
    <xf numFmtId="1" fontId="0" fillId="0" borderId="59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164" fontId="0" fillId="0" borderId="59" xfId="0" applyNumberFormat="1" applyBorder="1" applyAlignment="1">
      <alignment horizontal="right"/>
    </xf>
    <xf numFmtId="166" fontId="0" fillId="0" borderId="69" xfId="0" applyNumberFormat="1" applyBorder="1" applyAlignment="1">
      <alignment horizontal="right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0" xfId="0" applyBorder="1" applyAlignment="1">
      <alignment horizontal="left"/>
    </xf>
    <xf numFmtId="0" fontId="0" fillId="0" borderId="71" xfId="0" applyBorder="1" applyAlignment="1">
      <alignment horizontal="left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0" fillId="0" borderId="58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10" fontId="0" fillId="0" borderId="59" xfId="0" applyNumberFormat="1" applyBorder="1" applyAlignment="1">
      <alignment horizontal="right" vertical="center"/>
    </xf>
    <xf numFmtId="10" fontId="0" fillId="0" borderId="61" xfId="0" applyNumberFormat="1" applyBorder="1" applyAlignment="1">
      <alignment horizontal="right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57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0" xfId="1" applyFont="1" applyBorder="1" applyAlignment="1">
      <alignment horizontal="left" vertical="center" wrapText="1"/>
    </xf>
    <xf numFmtId="0" fontId="4" fillId="0" borderId="63" xfId="1" applyFont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7" xfId="1" applyBorder="1" applyAlignment="1">
      <alignment horizontal="left" vertical="center"/>
    </xf>
    <xf numFmtId="0" fontId="2" fillId="0" borderId="72" xfId="1" applyBorder="1" applyAlignment="1">
      <alignment horizontal="left" vertical="center"/>
    </xf>
    <xf numFmtId="0" fontId="2" fillId="0" borderId="68" xfId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58" xfId="1" applyBorder="1" applyAlignment="1">
      <alignment horizontal="left" vertical="center"/>
    </xf>
    <xf numFmtId="0" fontId="2" fillId="0" borderId="62" xfId="1" applyBorder="1" applyAlignment="1">
      <alignment horizontal="left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753E29AC-3D6A-452A-B6FB-DBD04AB1E8A4}"/>
  </cellStyles>
  <dxfs count="0"/>
  <tableStyles count="0" defaultTableStyle="TableStyleMedium2" defaultPivotStyle="PivotStyleLight16"/>
  <colors>
    <mruColors>
      <color rgb="FFE2A700"/>
      <color rgb="FFCC9900"/>
      <color rgb="FFFFCC00"/>
      <color rgb="FFFFFF99"/>
      <color rgb="FFF2F808"/>
      <color rgb="FF003366"/>
      <color rgb="FFFF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1203936</xdr:colOff>
      <xdr:row>0</xdr:row>
      <xdr:rowOff>205155</xdr:rowOff>
    </xdr:from>
    <xdr:ext cx="2061482" cy="381839"/>
    <xdr:pic>
      <xdr:nvPicPr>
        <xdr:cNvPr id="4" name="Image 3">
          <a:extLst>
            <a:ext uri="{FF2B5EF4-FFF2-40B4-BE49-F238E27FC236}">
              <a16:creationId xmlns:a16="http://schemas.microsoft.com/office/drawing/2014/main" id="{EAD146CF-E9BB-41C2-BEC6-DD74A2CFC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6683" y="205155"/>
          <a:ext cx="2061482" cy="381839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816D-E08C-4D4C-901E-CE2FD4BD651A}">
  <sheetPr>
    <pageSetUpPr fitToPage="1"/>
  </sheetPr>
  <dimension ref="A1:AB76"/>
  <sheetViews>
    <sheetView tabSelected="1" view="pageBreakPreview" zoomScale="83" zoomScaleNormal="60" zoomScalePageLayoutView="70" workbookViewId="0">
      <selection activeCell="A2" sqref="A2"/>
    </sheetView>
  </sheetViews>
  <sheetFormatPr baseColWidth="10" defaultRowHeight="15" x14ac:dyDescent="0.2"/>
  <cols>
    <col min="1" max="1" width="14.1640625" customWidth="1"/>
    <col min="2" max="2" width="19" customWidth="1"/>
    <col min="3" max="3" width="16" customWidth="1"/>
    <col min="5" max="5" width="18.1640625" customWidth="1"/>
    <col min="6" max="6" width="16.1640625" customWidth="1"/>
    <col min="7" max="7" width="29.1640625" style="71" customWidth="1"/>
    <col min="8" max="8" width="22" style="71" customWidth="1"/>
    <col min="9" max="9" width="17.83203125" customWidth="1"/>
    <col min="10" max="10" width="16.1640625" customWidth="1"/>
    <col min="11" max="11" width="14" style="2" customWidth="1"/>
    <col min="12" max="12" width="17.83203125" style="2" customWidth="1"/>
    <col min="13" max="13" width="20.33203125" customWidth="1"/>
    <col min="14" max="14" width="16.6640625" style="2" customWidth="1"/>
    <col min="15" max="15" width="15.83203125" customWidth="1"/>
    <col min="16" max="16" width="16.6640625" customWidth="1"/>
    <col min="17" max="17" width="15.33203125" customWidth="1"/>
    <col min="18" max="18" width="12.1640625" customWidth="1"/>
    <col min="19" max="19" width="18.1640625" customWidth="1"/>
    <col min="20" max="20" width="17.33203125" hidden="1" customWidth="1"/>
    <col min="21" max="21" width="15.1640625" customWidth="1"/>
    <col min="22" max="22" width="12.1640625" hidden="1" customWidth="1"/>
    <col min="23" max="23" width="0" hidden="1" customWidth="1"/>
    <col min="24" max="24" width="23.5" customWidth="1"/>
    <col min="25" max="25" width="15.1640625" customWidth="1"/>
    <col min="26" max="26" width="14.6640625" customWidth="1"/>
    <col min="28" max="28" width="13.83203125" customWidth="1"/>
  </cols>
  <sheetData>
    <row r="1" spans="1:28" ht="56" customHeight="1" x14ac:dyDescent="0.2">
      <c r="A1" s="139" t="s">
        <v>127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8"/>
      <c r="U1" s="138"/>
      <c r="V1" s="138"/>
      <c r="W1" s="138"/>
      <c r="X1" s="138"/>
      <c r="Y1" s="138"/>
      <c r="Z1" s="138"/>
      <c r="AA1" s="138"/>
      <c r="AB1" s="138"/>
    </row>
    <row r="2" spans="1:28" ht="56" customHeight="1" thickBo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38"/>
      <c r="U2" s="138"/>
      <c r="V2" s="138"/>
      <c r="W2" s="138"/>
      <c r="X2" s="138"/>
      <c r="Y2" s="138"/>
      <c r="Z2" s="138"/>
      <c r="AA2" s="138"/>
      <c r="AB2" s="138"/>
    </row>
    <row r="3" spans="1:28" ht="23" thickTop="1" thickBot="1" x14ac:dyDescent="0.25">
      <c r="A3" s="181" t="s">
        <v>104</v>
      </c>
      <c r="B3" s="182"/>
      <c r="C3" s="182"/>
      <c r="D3" s="182"/>
      <c r="E3" s="183"/>
      <c r="G3" s="184" t="s">
        <v>0</v>
      </c>
      <c r="H3" s="185"/>
      <c r="J3" s="19" t="s">
        <v>6</v>
      </c>
      <c r="K3" s="20" t="s">
        <v>7</v>
      </c>
      <c r="L3" s="21" t="s">
        <v>8</v>
      </c>
      <c r="O3" s="192" t="s">
        <v>93</v>
      </c>
      <c r="P3" s="193"/>
      <c r="Q3" s="193"/>
      <c r="R3" s="193"/>
      <c r="S3" s="194"/>
      <c r="U3" s="2"/>
    </row>
    <row r="4" spans="1:28" ht="48" customHeight="1" thickTop="1" x14ac:dyDescent="0.2">
      <c r="A4" s="179"/>
      <c r="B4" s="180"/>
      <c r="C4" s="180"/>
      <c r="D4" s="180"/>
      <c r="E4" s="131"/>
      <c r="G4" s="127" t="s">
        <v>1</v>
      </c>
      <c r="H4" s="128" t="s">
        <v>114</v>
      </c>
      <c r="J4" s="22" t="s">
        <v>126</v>
      </c>
      <c r="K4" s="23">
        <v>1200</v>
      </c>
      <c r="L4" s="24">
        <v>0</v>
      </c>
      <c r="O4" s="7"/>
      <c r="P4" s="8" t="s">
        <v>95</v>
      </c>
      <c r="Q4" s="9" t="s">
        <v>99</v>
      </c>
      <c r="R4" s="10" t="s">
        <v>94</v>
      </c>
      <c r="S4" s="11" t="s">
        <v>2</v>
      </c>
      <c r="T4" s="4"/>
      <c r="U4" s="5"/>
      <c r="W4" s="6"/>
    </row>
    <row r="5" spans="1:28" ht="58.25" customHeight="1" x14ac:dyDescent="0.2">
      <c r="A5" s="186" t="s">
        <v>122</v>
      </c>
      <c r="B5" s="187"/>
      <c r="C5" s="187"/>
      <c r="D5" s="188"/>
      <c r="E5" s="129">
        <v>707640</v>
      </c>
      <c r="G5" s="115" t="s">
        <v>115</v>
      </c>
      <c r="H5" s="116">
        <v>195</v>
      </c>
      <c r="J5" s="27" t="s">
        <v>121</v>
      </c>
      <c r="K5" s="28"/>
      <c r="L5" s="29">
        <v>3000</v>
      </c>
      <c r="M5" s="112"/>
      <c r="N5" s="112"/>
      <c r="O5" s="13" t="s">
        <v>96</v>
      </c>
      <c r="P5" s="14" t="s">
        <v>109</v>
      </c>
      <c r="Q5" s="15">
        <v>9</v>
      </c>
      <c r="R5" s="16">
        <v>1800</v>
      </c>
      <c r="S5" s="17">
        <f>+R5*Q5</f>
        <v>16200</v>
      </c>
      <c r="T5" s="2"/>
      <c r="U5" s="2"/>
    </row>
    <row r="6" spans="1:28" s="6" customFormat="1" ht="42.75" customHeight="1" x14ac:dyDescent="0.2">
      <c r="A6" s="190" t="s">
        <v>123</v>
      </c>
      <c r="B6" s="191"/>
      <c r="C6" s="191"/>
      <c r="D6" s="191"/>
      <c r="E6" s="129">
        <v>420311</v>
      </c>
      <c r="F6"/>
      <c r="G6" s="115" t="s">
        <v>3</v>
      </c>
      <c r="H6" s="117">
        <f>+E5/H5</f>
        <v>3628.9230769230771</v>
      </c>
      <c r="I6"/>
      <c r="J6" s="27" t="s">
        <v>98</v>
      </c>
      <c r="K6" s="28"/>
      <c r="L6" s="29">
        <v>3000</v>
      </c>
      <c r="M6" s="107"/>
      <c r="O6" s="13" t="s">
        <v>96</v>
      </c>
      <c r="P6" s="14" t="s">
        <v>118</v>
      </c>
      <c r="Q6" s="15">
        <v>12</v>
      </c>
      <c r="R6" s="16">
        <v>3800</v>
      </c>
      <c r="S6" s="17">
        <f>+R6*Q6</f>
        <v>45600</v>
      </c>
      <c r="T6" s="2"/>
      <c r="U6" s="2"/>
    </row>
    <row r="7" spans="1:28" s="18" customFormat="1" ht="42.75" customHeight="1" x14ac:dyDescent="0.2">
      <c r="A7" s="190" t="s">
        <v>103</v>
      </c>
      <c r="B7" s="191"/>
      <c r="C7" s="191"/>
      <c r="D7" s="191"/>
      <c r="E7" s="129">
        <v>23241</v>
      </c>
      <c r="F7" s="1"/>
      <c r="G7" s="118" t="s">
        <v>113</v>
      </c>
      <c r="H7" s="119">
        <f>+E6/H5</f>
        <v>2155.4410256410256</v>
      </c>
      <c r="I7" s="1"/>
      <c r="J7" s="27" t="s">
        <v>12</v>
      </c>
      <c r="K7" s="16">
        <v>0</v>
      </c>
      <c r="L7" s="29"/>
      <c r="M7" s="108"/>
      <c r="O7" s="13" t="s">
        <v>117</v>
      </c>
      <c r="P7" s="14" t="s">
        <v>108</v>
      </c>
      <c r="Q7" s="15">
        <v>12</v>
      </c>
      <c r="R7" s="16">
        <v>1300</v>
      </c>
      <c r="S7" s="17">
        <f>R7*Q7</f>
        <v>15600</v>
      </c>
      <c r="T7" s="2"/>
      <c r="U7" s="2"/>
    </row>
    <row r="8" spans="1:28" s="6" customFormat="1" ht="30.75" customHeight="1" x14ac:dyDescent="0.2">
      <c r="A8" s="190" t="s">
        <v>116</v>
      </c>
      <c r="B8" s="191"/>
      <c r="C8" s="191"/>
      <c r="D8" s="191"/>
      <c r="E8" s="129">
        <v>238292</v>
      </c>
      <c r="F8"/>
      <c r="G8" s="115" t="s">
        <v>4</v>
      </c>
      <c r="H8" s="120">
        <v>4</v>
      </c>
      <c r="I8"/>
      <c r="J8" s="30" t="s">
        <v>111</v>
      </c>
      <c r="K8" s="16">
        <f>80*12</f>
        <v>960</v>
      </c>
      <c r="L8" s="29"/>
      <c r="O8" s="13"/>
      <c r="P8" s="14"/>
      <c r="Q8" s="15"/>
      <c r="R8" s="16"/>
      <c r="S8" s="17"/>
      <c r="T8" s="2"/>
      <c r="U8" s="2"/>
    </row>
    <row r="9" spans="1:28" s="6" customFormat="1" ht="57.75" customHeight="1" thickBot="1" x14ac:dyDescent="0.25">
      <c r="A9" s="177" t="s">
        <v>105</v>
      </c>
      <c r="B9" s="178"/>
      <c r="C9" s="178"/>
      <c r="D9" s="178"/>
      <c r="E9" s="130">
        <f>SUM(E5:E7)-E8</f>
        <v>912900</v>
      </c>
      <c r="F9"/>
      <c r="G9" s="115" t="s">
        <v>5</v>
      </c>
      <c r="H9" s="121">
        <v>4500</v>
      </c>
      <c r="I9"/>
      <c r="J9" s="31" t="s">
        <v>112</v>
      </c>
      <c r="K9" s="32">
        <f>120*12</f>
        <v>1440</v>
      </c>
      <c r="L9" s="29"/>
      <c r="M9" s="111"/>
      <c r="N9" s="111"/>
      <c r="O9" s="13"/>
      <c r="P9" s="14"/>
      <c r="Q9" s="15"/>
      <c r="R9" s="16"/>
      <c r="S9" s="17"/>
    </row>
    <row r="10" spans="1:28" ht="59" customHeight="1" thickTop="1" x14ac:dyDescent="0.2">
      <c r="G10" s="122" t="s">
        <v>9</v>
      </c>
      <c r="H10" s="123">
        <v>0.2</v>
      </c>
      <c r="J10" s="33"/>
      <c r="K10" s="28"/>
      <c r="L10" s="34"/>
      <c r="M10" s="109"/>
      <c r="N10"/>
      <c r="O10" s="13" t="s">
        <v>107</v>
      </c>
      <c r="P10" s="14" t="s">
        <v>109</v>
      </c>
      <c r="Q10" s="15">
        <v>9</v>
      </c>
      <c r="R10" s="16">
        <v>950</v>
      </c>
      <c r="S10" s="17">
        <f>+R10*Q10</f>
        <v>8550</v>
      </c>
    </row>
    <row r="11" spans="1:28" ht="47.25" customHeight="1" thickBot="1" x14ac:dyDescent="0.25">
      <c r="A11" s="25"/>
      <c r="G11" s="122" t="s">
        <v>10</v>
      </c>
      <c r="H11" s="124">
        <v>7500</v>
      </c>
      <c r="I11" s="26"/>
      <c r="J11" s="35" t="s">
        <v>119</v>
      </c>
      <c r="K11" s="36">
        <f>SUM(K4:K10)</f>
        <v>3600</v>
      </c>
      <c r="L11" s="37">
        <f>SUM(L4:L9)</f>
        <v>6000</v>
      </c>
      <c r="M11" s="3"/>
      <c r="N11"/>
      <c r="O11" s="13" t="s">
        <v>107</v>
      </c>
      <c r="P11" s="14" t="s">
        <v>106</v>
      </c>
      <c r="Q11" s="15">
        <v>12</v>
      </c>
      <c r="R11" s="16">
        <v>1800</v>
      </c>
      <c r="S11" s="17">
        <f>+R11*Q11</f>
        <v>21600</v>
      </c>
    </row>
    <row r="12" spans="1:28" ht="37" customHeight="1" thickTop="1" thickBot="1" x14ac:dyDescent="0.25">
      <c r="G12" s="125" t="s">
        <v>125</v>
      </c>
      <c r="H12" s="126">
        <f>H11*H5</f>
        <v>1462500</v>
      </c>
      <c r="K12"/>
      <c r="L12"/>
      <c r="O12" s="13"/>
      <c r="P12" s="14"/>
      <c r="Q12" s="15"/>
      <c r="R12" s="16"/>
      <c r="S12" s="17"/>
    </row>
    <row r="13" spans="1:28" ht="17" customHeight="1" thickTop="1" x14ac:dyDescent="0.2">
      <c r="A13" s="142" t="s">
        <v>11</v>
      </c>
      <c r="B13" s="143"/>
      <c r="C13" s="144"/>
      <c r="F13" s="189"/>
      <c r="G13" s="189"/>
      <c r="H13" s="189"/>
      <c r="I13" s="189"/>
      <c r="J13" s="12" t="s">
        <v>120</v>
      </c>
      <c r="K13" s="53">
        <f>(K11+L11)/12</f>
        <v>800</v>
      </c>
      <c r="M13" s="12"/>
      <c r="N13" s="12"/>
      <c r="O13" s="13"/>
      <c r="P13" s="14"/>
      <c r="Q13" s="15"/>
      <c r="R13" s="16"/>
      <c r="S13" s="17"/>
    </row>
    <row r="14" spans="1:28" ht="16" thickBot="1" x14ac:dyDescent="0.25">
      <c r="A14" s="145"/>
      <c r="B14" s="146"/>
      <c r="C14" s="147"/>
      <c r="F14" s="113"/>
      <c r="K14"/>
      <c r="L14"/>
      <c r="O14" s="13"/>
      <c r="P14" s="14"/>
      <c r="Q14" s="15"/>
      <c r="R14" s="16"/>
      <c r="S14" s="17"/>
    </row>
    <row r="15" spans="1:28" ht="16" thickTop="1" x14ac:dyDescent="0.2">
      <c r="A15" s="148" t="s">
        <v>13</v>
      </c>
      <c r="B15" s="149"/>
      <c r="C15" s="136">
        <f>E9</f>
        <v>912900</v>
      </c>
      <c r="F15" s="113"/>
      <c r="K15"/>
      <c r="L15"/>
      <c r="O15" s="13"/>
      <c r="P15" s="14"/>
      <c r="Q15" s="15"/>
      <c r="R15" s="16"/>
      <c r="S15" s="17"/>
    </row>
    <row r="16" spans="1:28" x14ac:dyDescent="0.2">
      <c r="A16" s="140" t="s">
        <v>14</v>
      </c>
      <c r="B16" s="141"/>
      <c r="C16" s="132">
        <v>2.5000000000000001E-2</v>
      </c>
      <c r="I16" s="2"/>
      <c r="K16"/>
      <c r="L16"/>
      <c r="O16" s="13"/>
      <c r="P16" s="14"/>
      <c r="Q16" s="15"/>
      <c r="R16" s="16"/>
      <c r="S16" s="17"/>
    </row>
    <row r="17" spans="1:28" x14ac:dyDescent="0.2">
      <c r="A17" s="140" t="s">
        <v>15</v>
      </c>
      <c r="B17" s="141"/>
      <c r="C17" s="132">
        <v>2E-3</v>
      </c>
      <c r="I17" s="114"/>
      <c r="K17"/>
      <c r="L17"/>
      <c r="O17" s="13"/>
      <c r="P17" s="14"/>
      <c r="Q17" s="15"/>
      <c r="R17" s="16"/>
      <c r="S17" s="17"/>
    </row>
    <row r="18" spans="1:28" x14ac:dyDescent="0.2">
      <c r="A18" s="140" t="s">
        <v>16</v>
      </c>
      <c r="B18" s="141"/>
      <c r="C18" s="132">
        <f>C17+C16</f>
        <v>2.7000000000000003E-2</v>
      </c>
      <c r="K18"/>
      <c r="L18"/>
      <c r="N18"/>
      <c r="O18" s="13"/>
      <c r="P18" s="14"/>
      <c r="Q18" s="15"/>
      <c r="R18" s="16"/>
      <c r="S18" s="17"/>
      <c r="T18" s="2"/>
      <c r="U18" s="2"/>
    </row>
    <row r="19" spans="1:28" ht="15" customHeight="1" x14ac:dyDescent="0.2">
      <c r="A19" s="140" t="s">
        <v>17</v>
      </c>
      <c r="B19" s="141"/>
      <c r="C19" s="133">
        <v>20</v>
      </c>
      <c r="K19" s="137"/>
      <c r="L19" s="137"/>
      <c r="M19" s="137"/>
      <c r="N19" s="137"/>
      <c r="O19" s="13"/>
      <c r="P19" s="14"/>
      <c r="Q19" s="15"/>
      <c r="R19" s="16"/>
      <c r="S19" s="17"/>
      <c r="T19" s="2"/>
      <c r="U19" s="2"/>
    </row>
    <row r="20" spans="1:28" x14ac:dyDescent="0.2">
      <c r="A20" s="140" t="s">
        <v>18</v>
      </c>
      <c r="B20" s="141"/>
      <c r="C20" s="134">
        <f>C19*12</f>
        <v>240</v>
      </c>
      <c r="K20" s="137"/>
      <c r="L20" s="137"/>
      <c r="M20" s="137"/>
      <c r="N20" s="137"/>
      <c r="O20" s="13"/>
      <c r="P20" s="14"/>
      <c r="Q20" s="15"/>
      <c r="R20" s="16"/>
      <c r="S20" s="17"/>
      <c r="T20" s="2"/>
      <c r="U20" s="2"/>
    </row>
    <row r="21" spans="1:28" ht="14.25" customHeight="1" x14ac:dyDescent="0.2">
      <c r="A21" s="140" t="s">
        <v>19</v>
      </c>
      <c r="B21" s="141"/>
      <c r="C21" s="135">
        <f>(C15*C18/12*(1+C18/12)^C20)/(((1+C18/12)^C20)-1)</f>
        <v>4926.9227873743512</v>
      </c>
      <c r="K21" s="137"/>
      <c r="L21" s="137"/>
      <c r="M21" s="137"/>
      <c r="N21" s="137"/>
      <c r="O21" s="13"/>
      <c r="P21" s="14"/>
      <c r="Q21" s="15"/>
      <c r="R21" s="16"/>
      <c r="S21" s="17"/>
      <c r="T21" s="2"/>
      <c r="U21" s="2"/>
    </row>
    <row r="22" spans="1:28" x14ac:dyDescent="0.2">
      <c r="A22" s="140" t="s">
        <v>20</v>
      </c>
      <c r="B22" s="141"/>
      <c r="C22" s="135">
        <f>C21*C20-C15</f>
        <v>269561.46896984428</v>
      </c>
      <c r="K22"/>
      <c r="L22"/>
      <c r="N22"/>
      <c r="O22" s="13"/>
      <c r="P22" s="14"/>
      <c r="Q22" s="38"/>
      <c r="R22" s="16"/>
      <c r="S22" s="17"/>
      <c r="T22" s="2"/>
      <c r="U22" s="2"/>
    </row>
    <row r="23" spans="1:28" ht="16" thickBot="1" x14ac:dyDescent="0.25">
      <c r="A23" s="156" t="s">
        <v>21</v>
      </c>
      <c r="B23" s="157"/>
      <c r="C23" s="160">
        <v>0.01</v>
      </c>
      <c r="K23"/>
      <c r="L23"/>
      <c r="N23"/>
      <c r="O23" s="39"/>
      <c r="P23" s="40"/>
      <c r="Q23" s="41"/>
      <c r="R23" s="42"/>
      <c r="S23" s="43"/>
      <c r="U23" s="2"/>
    </row>
    <row r="24" spans="1:28" ht="17" thickTop="1" thickBot="1" x14ac:dyDescent="0.25">
      <c r="A24" s="158"/>
      <c r="B24" s="159"/>
      <c r="C24" s="161"/>
      <c r="F24" s="44" t="s">
        <v>22</v>
      </c>
      <c r="G24" s="45"/>
      <c r="H24" s="45"/>
      <c r="I24" s="46">
        <v>0.01</v>
      </c>
      <c r="O24" s="1"/>
      <c r="P24" s="175" t="s">
        <v>102</v>
      </c>
      <c r="Q24" s="175"/>
      <c r="R24" s="175"/>
      <c r="S24" s="48">
        <f>SUM(S5:S23)</f>
        <v>107550</v>
      </c>
      <c r="T24" s="47"/>
      <c r="U24" s="2"/>
    </row>
    <row r="25" spans="1:28" ht="17" thickTop="1" thickBot="1" x14ac:dyDescent="0.25">
      <c r="F25" s="49"/>
      <c r="G25" s="50"/>
      <c r="H25" s="50"/>
      <c r="I25" s="51"/>
      <c r="X25" s="4"/>
      <c r="Y25" s="4"/>
      <c r="Z25" s="1"/>
      <c r="AA25" s="1"/>
      <c r="AB25" s="3"/>
    </row>
    <row r="26" spans="1:28" ht="26" x14ac:dyDescent="0.2">
      <c r="A26" s="162" t="s">
        <v>23</v>
      </c>
      <c r="B26" s="163"/>
      <c r="C26" s="163"/>
      <c r="D26" s="163"/>
      <c r="E26" s="164"/>
      <c r="F26" s="168" t="s">
        <v>24</v>
      </c>
      <c r="G26" s="169"/>
      <c r="H26" s="169"/>
      <c r="I26" s="170"/>
      <c r="J26" s="150" t="s">
        <v>101</v>
      </c>
      <c r="K26" s="151"/>
      <c r="L26" s="151"/>
      <c r="M26" s="151"/>
      <c r="N26" s="151"/>
      <c r="O26" s="151"/>
      <c r="P26" s="151"/>
      <c r="Q26" s="151"/>
      <c r="R26" s="151"/>
      <c r="S26" s="151"/>
      <c r="T26" s="152"/>
      <c r="U26" s="52"/>
      <c r="W26" s="176"/>
      <c r="X26" s="176"/>
      <c r="Y26" s="176"/>
      <c r="Z26" s="176"/>
      <c r="AA26" s="176"/>
      <c r="AB26" s="53"/>
    </row>
    <row r="27" spans="1:28" ht="27" thickBot="1" x14ac:dyDescent="0.25">
      <c r="A27" s="165"/>
      <c r="B27" s="166"/>
      <c r="C27" s="166"/>
      <c r="D27" s="166"/>
      <c r="E27" s="167"/>
      <c r="F27" s="171"/>
      <c r="G27" s="172"/>
      <c r="H27" s="172"/>
      <c r="I27" s="173"/>
      <c r="J27" s="153"/>
      <c r="K27" s="154"/>
      <c r="L27" s="154"/>
      <c r="M27" s="154"/>
      <c r="N27" s="154"/>
      <c r="O27" s="154"/>
      <c r="P27" s="154"/>
      <c r="Q27" s="154"/>
      <c r="R27" s="154"/>
      <c r="S27" s="154"/>
      <c r="T27" s="155"/>
      <c r="U27" s="52"/>
      <c r="W27" s="174"/>
      <c r="X27" s="174"/>
      <c r="Y27" s="174"/>
      <c r="Z27" s="174"/>
      <c r="AA27" s="174"/>
      <c r="AB27" s="48"/>
    </row>
    <row r="28" spans="1:28" s="1" customFormat="1" ht="53.75" customHeight="1" thickBot="1" x14ac:dyDescent="0.25">
      <c r="A28" s="74" t="s">
        <v>25</v>
      </c>
      <c r="B28" s="75" t="s">
        <v>124</v>
      </c>
      <c r="C28" s="75" t="s">
        <v>26</v>
      </c>
      <c r="D28" s="75" t="s">
        <v>27</v>
      </c>
      <c r="E28" s="76" t="s">
        <v>28</v>
      </c>
      <c r="F28" s="77" t="s">
        <v>29</v>
      </c>
      <c r="G28" s="78" t="s">
        <v>30</v>
      </c>
      <c r="H28" s="79" t="s">
        <v>31</v>
      </c>
      <c r="I28" s="80" t="s">
        <v>32</v>
      </c>
      <c r="J28" s="81" t="s">
        <v>25</v>
      </c>
      <c r="K28" s="82" t="s">
        <v>97</v>
      </c>
      <c r="L28" s="83" t="s">
        <v>33</v>
      </c>
      <c r="M28" s="84" t="s">
        <v>110</v>
      </c>
      <c r="N28" s="83" t="s">
        <v>34</v>
      </c>
      <c r="O28" s="84" t="s">
        <v>35</v>
      </c>
      <c r="P28" s="85" t="s">
        <v>36</v>
      </c>
      <c r="Q28" s="84" t="s">
        <v>37</v>
      </c>
      <c r="R28" s="86" t="s">
        <v>38</v>
      </c>
      <c r="S28" s="85" t="s">
        <v>100</v>
      </c>
      <c r="T28" s="91" t="s">
        <v>39</v>
      </c>
      <c r="U28" s="54"/>
    </row>
    <row r="29" spans="1:28" ht="16" thickTop="1" x14ac:dyDescent="0.2">
      <c r="A29" s="55" t="s">
        <v>40</v>
      </c>
      <c r="B29" s="56">
        <f>C15</f>
        <v>912900</v>
      </c>
      <c r="C29" s="56">
        <f t="shared" ref="C29:C76" si="0">B29*$C$18/12</f>
        <v>2054.0250000000001</v>
      </c>
      <c r="D29" s="56">
        <f t="shared" ref="D29:D76" si="1">+$C$21-C29</f>
        <v>2872.8977873743511</v>
      </c>
      <c r="E29" s="57">
        <f>B29-D29</f>
        <v>910027.10221262567</v>
      </c>
      <c r="F29" s="58" t="s">
        <v>41</v>
      </c>
      <c r="G29" s="98">
        <f>H12</f>
        <v>1462500</v>
      </c>
      <c r="H29" s="99">
        <f>+E40*$C$23</f>
        <v>8779.9538528327394</v>
      </c>
      <c r="I29" s="100">
        <f>G29-E40-H29-E8</f>
        <v>337432.66086389334</v>
      </c>
      <c r="J29" s="59" t="s">
        <v>40</v>
      </c>
      <c r="K29" s="72">
        <v>45536</v>
      </c>
      <c r="L29" s="73">
        <f>1800+1300+950</f>
        <v>4050</v>
      </c>
      <c r="M29" s="73">
        <f>-L29*$H$10</f>
        <v>-810</v>
      </c>
      <c r="N29" s="73"/>
      <c r="O29" s="73">
        <f t="shared" ref="O29:O76" si="2">-$K$13</f>
        <v>-800</v>
      </c>
      <c r="P29" s="73">
        <f t="shared" ref="P29:P76" si="3">-$C$21</f>
        <v>-4926.9227873743512</v>
      </c>
      <c r="Q29" s="73"/>
      <c r="R29" s="73">
        <f>SUM(L29:Q29)</f>
        <v>-2486.9227873743512</v>
      </c>
      <c r="S29" s="73"/>
      <c r="T29" s="92"/>
      <c r="U29" s="61"/>
      <c r="V29" s="12"/>
      <c r="AA29" s="53"/>
    </row>
    <row r="30" spans="1:28" x14ac:dyDescent="0.2">
      <c r="A30" s="62" t="s">
        <v>42</v>
      </c>
      <c r="B30" s="63">
        <f>E29</f>
        <v>910027.10221262567</v>
      </c>
      <c r="C30" s="63">
        <f t="shared" si="0"/>
        <v>2047.5609799784079</v>
      </c>
      <c r="D30" s="63">
        <f t="shared" si="1"/>
        <v>2879.3618073959433</v>
      </c>
      <c r="E30" s="64">
        <f>B30-D30</f>
        <v>907147.74040522974</v>
      </c>
      <c r="F30" s="65"/>
      <c r="G30" s="101"/>
      <c r="H30" s="102"/>
      <c r="I30" s="103"/>
      <c r="J30" s="66" t="s">
        <v>42</v>
      </c>
      <c r="K30" s="70">
        <v>45566</v>
      </c>
      <c r="L30" s="60">
        <f>1800+1300+950</f>
        <v>4050</v>
      </c>
      <c r="M30" s="60">
        <f t="shared" ref="M30:M76" si="4">-L30*$H$10</f>
        <v>-810</v>
      </c>
      <c r="N30" s="60">
        <v>-2300</v>
      </c>
      <c r="O30" s="60">
        <f t="shared" si="2"/>
        <v>-800</v>
      </c>
      <c r="P30" s="60">
        <f t="shared" si="3"/>
        <v>-4926.9227873743512</v>
      </c>
      <c r="Q30" s="60"/>
      <c r="R30" s="60">
        <f t="shared" ref="R30:R76" si="5">SUM(L30:Q30)</f>
        <v>-4786.9227873743512</v>
      </c>
      <c r="S30" s="60"/>
      <c r="T30" s="93"/>
      <c r="U30" s="61"/>
      <c r="AB30" s="67"/>
    </row>
    <row r="31" spans="1:28" x14ac:dyDescent="0.2">
      <c r="A31" s="62" t="s">
        <v>43</v>
      </c>
      <c r="B31" s="63">
        <f t="shared" ref="B31:B76" si="6">E30</f>
        <v>907147.74040522974</v>
      </c>
      <c r="C31" s="63">
        <f t="shared" si="0"/>
        <v>2041.0824159117672</v>
      </c>
      <c r="D31" s="63">
        <f t="shared" si="1"/>
        <v>2885.8403714625838</v>
      </c>
      <c r="E31" s="64">
        <f t="shared" ref="E31:E76" si="7">B31-D31</f>
        <v>904261.9000337671</v>
      </c>
      <c r="F31" s="65"/>
      <c r="G31" s="101"/>
      <c r="H31" s="102"/>
      <c r="I31" s="103"/>
      <c r="J31" s="66" t="s">
        <v>43</v>
      </c>
      <c r="K31" s="70">
        <v>45597</v>
      </c>
      <c r="L31" s="60">
        <f t="shared" ref="L31:L37" si="8">1800+1300+950</f>
        <v>4050</v>
      </c>
      <c r="M31" s="60">
        <f t="shared" si="4"/>
        <v>-810</v>
      </c>
      <c r="N31" s="60"/>
      <c r="O31" s="60">
        <f t="shared" si="2"/>
        <v>-800</v>
      </c>
      <c r="P31" s="60">
        <f t="shared" si="3"/>
        <v>-4926.9227873743512</v>
      </c>
      <c r="Q31" s="60"/>
      <c r="R31" s="60">
        <f t="shared" si="5"/>
        <v>-2486.9227873743512</v>
      </c>
      <c r="S31" s="60"/>
      <c r="T31" s="93"/>
      <c r="U31" s="61"/>
      <c r="V31" s="12"/>
      <c r="AA31" s="67"/>
    </row>
    <row r="32" spans="1:28" x14ac:dyDescent="0.2">
      <c r="A32" s="62" t="s">
        <v>44</v>
      </c>
      <c r="B32" s="63">
        <f t="shared" si="6"/>
        <v>904261.9000337671</v>
      </c>
      <c r="C32" s="63">
        <f t="shared" si="0"/>
        <v>2034.589275075976</v>
      </c>
      <c r="D32" s="63">
        <f t="shared" si="1"/>
        <v>2892.3335122983754</v>
      </c>
      <c r="E32" s="64">
        <f t="shared" si="7"/>
        <v>901369.56652146869</v>
      </c>
      <c r="F32" s="65"/>
      <c r="G32" s="101"/>
      <c r="H32" s="102"/>
      <c r="I32" s="103"/>
      <c r="J32" s="66" t="s">
        <v>44</v>
      </c>
      <c r="K32" s="70">
        <v>45627</v>
      </c>
      <c r="L32" s="60">
        <f t="shared" si="8"/>
        <v>4050</v>
      </c>
      <c r="M32" s="60">
        <f t="shared" si="4"/>
        <v>-810</v>
      </c>
      <c r="N32" s="60"/>
      <c r="O32" s="60">
        <f t="shared" si="2"/>
        <v>-800</v>
      </c>
      <c r="P32" s="60">
        <f t="shared" si="3"/>
        <v>-4926.9227873743512</v>
      </c>
      <c r="Q32" s="60"/>
      <c r="R32" s="60">
        <f t="shared" si="5"/>
        <v>-2486.9227873743512</v>
      </c>
      <c r="S32" s="60"/>
      <c r="T32" s="93"/>
      <c r="U32" s="61"/>
      <c r="AA32" s="2"/>
      <c r="AB32" s="2"/>
    </row>
    <row r="33" spans="1:28" x14ac:dyDescent="0.2">
      <c r="A33" s="62" t="s">
        <v>45</v>
      </c>
      <c r="B33" s="63">
        <f t="shared" si="6"/>
        <v>901369.56652146869</v>
      </c>
      <c r="C33" s="63">
        <f t="shared" si="0"/>
        <v>2028.0815246733048</v>
      </c>
      <c r="D33" s="63">
        <f t="shared" si="1"/>
        <v>2898.8412627010466</v>
      </c>
      <c r="E33" s="64">
        <f t="shared" si="7"/>
        <v>898470.7252587676</v>
      </c>
      <c r="F33" s="65"/>
      <c r="G33" s="101"/>
      <c r="H33" s="102"/>
      <c r="I33" s="103"/>
      <c r="J33" s="66" t="s">
        <v>45</v>
      </c>
      <c r="K33" s="70">
        <v>45658</v>
      </c>
      <c r="L33" s="60">
        <f t="shared" si="8"/>
        <v>4050</v>
      </c>
      <c r="M33" s="60">
        <f t="shared" si="4"/>
        <v>-810</v>
      </c>
      <c r="N33" s="60"/>
      <c r="O33" s="60">
        <f t="shared" si="2"/>
        <v>-800</v>
      </c>
      <c r="P33" s="60">
        <f t="shared" si="3"/>
        <v>-4926.9227873743512</v>
      </c>
      <c r="Q33" s="60"/>
      <c r="R33" s="60">
        <f t="shared" si="5"/>
        <v>-2486.9227873743512</v>
      </c>
      <c r="S33" s="60"/>
      <c r="T33" s="93"/>
      <c r="U33" s="61"/>
    </row>
    <row r="34" spans="1:28" x14ac:dyDescent="0.2">
      <c r="A34" s="62" t="s">
        <v>46</v>
      </c>
      <c r="B34" s="63">
        <f t="shared" si="6"/>
        <v>898470.7252587676</v>
      </c>
      <c r="C34" s="63">
        <f t="shared" si="0"/>
        <v>2021.5591318322274</v>
      </c>
      <c r="D34" s="63">
        <f t="shared" si="1"/>
        <v>2905.3636555421235</v>
      </c>
      <c r="E34" s="64">
        <f t="shared" si="7"/>
        <v>895565.36160322546</v>
      </c>
      <c r="F34" s="65"/>
      <c r="G34" s="101"/>
      <c r="H34" s="102"/>
      <c r="I34" s="103"/>
      <c r="J34" s="66" t="s">
        <v>46</v>
      </c>
      <c r="K34" s="70">
        <v>45689</v>
      </c>
      <c r="L34" s="60">
        <f t="shared" si="8"/>
        <v>4050</v>
      </c>
      <c r="M34" s="60">
        <f t="shared" si="4"/>
        <v>-810</v>
      </c>
      <c r="N34" s="60"/>
      <c r="O34" s="60">
        <f t="shared" si="2"/>
        <v>-800</v>
      </c>
      <c r="P34" s="60">
        <f t="shared" si="3"/>
        <v>-4926.9227873743512</v>
      </c>
      <c r="Q34" s="60"/>
      <c r="R34" s="60">
        <f t="shared" si="5"/>
        <v>-2486.9227873743512</v>
      </c>
      <c r="S34" s="60"/>
      <c r="T34" s="93"/>
      <c r="U34" s="61"/>
      <c r="AB34" s="12"/>
    </row>
    <row r="35" spans="1:28" x14ac:dyDescent="0.2">
      <c r="A35" s="62" t="s">
        <v>47</v>
      </c>
      <c r="B35" s="63">
        <f t="shared" si="6"/>
        <v>895565.36160322546</v>
      </c>
      <c r="C35" s="63">
        <f t="shared" si="0"/>
        <v>2015.0220636072575</v>
      </c>
      <c r="D35" s="63">
        <f t="shared" si="1"/>
        <v>2911.900723767094</v>
      </c>
      <c r="E35" s="64">
        <f t="shared" si="7"/>
        <v>892653.46087945835</v>
      </c>
      <c r="F35" s="65"/>
      <c r="G35" s="101"/>
      <c r="H35" s="102"/>
      <c r="I35" s="103"/>
      <c r="J35" s="66" t="s">
        <v>47</v>
      </c>
      <c r="K35" s="70">
        <v>45717</v>
      </c>
      <c r="L35" s="60">
        <f t="shared" si="8"/>
        <v>4050</v>
      </c>
      <c r="M35" s="60">
        <f t="shared" si="4"/>
        <v>-810</v>
      </c>
      <c r="N35" s="60"/>
      <c r="O35" s="60">
        <f t="shared" si="2"/>
        <v>-800</v>
      </c>
      <c r="P35" s="60">
        <f t="shared" si="3"/>
        <v>-4926.9227873743512</v>
      </c>
      <c r="Q35" s="60"/>
      <c r="R35" s="60">
        <f t="shared" si="5"/>
        <v>-2486.9227873743512</v>
      </c>
      <c r="S35" s="60"/>
      <c r="T35" s="93"/>
      <c r="U35" s="61"/>
    </row>
    <row r="36" spans="1:28" x14ac:dyDescent="0.2">
      <c r="A36" s="62" t="s">
        <v>48</v>
      </c>
      <c r="B36" s="63">
        <f t="shared" si="6"/>
        <v>892653.46087945835</v>
      </c>
      <c r="C36" s="63">
        <f t="shared" si="0"/>
        <v>2008.4702869787816</v>
      </c>
      <c r="D36" s="63">
        <f t="shared" si="1"/>
        <v>2918.4525003955696</v>
      </c>
      <c r="E36" s="64">
        <f t="shared" si="7"/>
        <v>889735.00837906275</v>
      </c>
      <c r="F36" s="65"/>
      <c r="G36" s="101"/>
      <c r="H36" s="102"/>
      <c r="I36" s="103"/>
      <c r="J36" s="66" t="s">
        <v>48</v>
      </c>
      <c r="K36" s="70">
        <v>45748</v>
      </c>
      <c r="L36" s="60">
        <f t="shared" si="8"/>
        <v>4050</v>
      </c>
      <c r="M36" s="60">
        <f t="shared" si="4"/>
        <v>-810</v>
      </c>
      <c r="N36" s="60"/>
      <c r="O36" s="60">
        <f t="shared" si="2"/>
        <v>-800</v>
      </c>
      <c r="P36" s="60">
        <f t="shared" si="3"/>
        <v>-4926.9227873743512</v>
      </c>
      <c r="Q36" s="60"/>
      <c r="R36" s="60">
        <f t="shared" si="5"/>
        <v>-2486.9227873743512</v>
      </c>
      <c r="S36" s="60"/>
      <c r="T36" s="93"/>
      <c r="U36" s="61"/>
      <c r="AA36" s="2"/>
    </row>
    <row r="37" spans="1:28" x14ac:dyDescent="0.2">
      <c r="A37" s="62" t="s">
        <v>49</v>
      </c>
      <c r="B37" s="63">
        <f t="shared" si="6"/>
        <v>889735.00837906275</v>
      </c>
      <c r="C37" s="63">
        <f t="shared" si="0"/>
        <v>2001.9037688528915</v>
      </c>
      <c r="D37" s="63">
        <f t="shared" si="1"/>
        <v>2925.0190185214597</v>
      </c>
      <c r="E37" s="64">
        <f t="shared" si="7"/>
        <v>886809.98936054134</v>
      </c>
      <c r="F37" s="65"/>
      <c r="G37" s="101"/>
      <c r="H37" s="102"/>
      <c r="I37" s="103"/>
      <c r="J37" s="66" t="s">
        <v>49</v>
      </c>
      <c r="K37" s="70">
        <v>45778</v>
      </c>
      <c r="L37" s="60">
        <f t="shared" si="8"/>
        <v>4050</v>
      </c>
      <c r="M37" s="60">
        <f t="shared" si="4"/>
        <v>-810</v>
      </c>
      <c r="N37" s="60"/>
      <c r="O37" s="60">
        <f t="shared" si="2"/>
        <v>-800</v>
      </c>
      <c r="P37" s="60">
        <f t="shared" si="3"/>
        <v>-4926.9227873743512</v>
      </c>
      <c r="Q37" s="60"/>
      <c r="R37" s="60">
        <f t="shared" si="5"/>
        <v>-2486.9227873743512</v>
      </c>
      <c r="S37" s="60"/>
      <c r="T37" s="93"/>
      <c r="U37" s="61"/>
      <c r="V37" s="12"/>
    </row>
    <row r="38" spans="1:28" x14ac:dyDescent="0.2">
      <c r="A38" s="62" t="s">
        <v>50</v>
      </c>
      <c r="B38" s="63">
        <f t="shared" si="6"/>
        <v>886809.98936054134</v>
      </c>
      <c r="C38" s="63">
        <f t="shared" si="0"/>
        <v>1995.3224760612184</v>
      </c>
      <c r="D38" s="63">
        <f t="shared" si="1"/>
        <v>2931.6003113131328</v>
      </c>
      <c r="E38" s="64">
        <f t="shared" si="7"/>
        <v>883878.38904922816</v>
      </c>
      <c r="F38" s="65"/>
      <c r="G38" s="101"/>
      <c r="H38" s="102"/>
      <c r="I38" s="103"/>
      <c r="J38" s="66" t="s">
        <v>50</v>
      </c>
      <c r="K38" s="70">
        <v>45809</v>
      </c>
      <c r="L38" s="60">
        <f>3800*4+1300+1800*4</f>
        <v>23700</v>
      </c>
      <c r="M38" s="60">
        <f t="shared" si="4"/>
        <v>-4740</v>
      </c>
      <c r="N38" s="60"/>
      <c r="O38" s="60">
        <f t="shared" si="2"/>
        <v>-800</v>
      </c>
      <c r="P38" s="60">
        <f t="shared" si="3"/>
        <v>-4926.9227873743512</v>
      </c>
      <c r="Q38" s="60"/>
      <c r="R38" s="60">
        <f t="shared" si="5"/>
        <v>13233.077212625649</v>
      </c>
      <c r="S38" s="60"/>
      <c r="T38" s="93"/>
      <c r="U38" s="61"/>
    </row>
    <row r="39" spans="1:28" x14ac:dyDescent="0.2">
      <c r="A39" s="62" t="s">
        <v>51</v>
      </c>
      <c r="B39" s="63">
        <f t="shared" si="6"/>
        <v>883878.38904922816</v>
      </c>
      <c r="C39" s="63">
        <f t="shared" si="0"/>
        <v>1988.7263753607638</v>
      </c>
      <c r="D39" s="63">
        <f t="shared" si="1"/>
        <v>2938.1964120135872</v>
      </c>
      <c r="E39" s="64">
        <f t="shared" si="7"/>
        <v>880940.19263721455</v>
      </c>
      <c r="F39" s="65"/>
      <c r="G39" s="101"/>
      <c r="H39" s="102"/>
      <c r="I39" s="103"/>
      <c r="J39" s="66" t="s">
        <v>51</v>
      </c>
      <c r="K39" s="70">
        <v>45839</v>
      </c>
      <c r="L39" s="60">
        <f t="shared" ref="L39:L40" si="9">3800*4+1300+1800*4</f>
        <v>23700</v>
      </c>
      <c r="M39" s="60">
        <f t="shared" si="4"/>
        <v>-4740</v>
      </c>
      <c r="N39" s="60"/>
      <c r="O39" s="60">
        <f t="shared" si="2"/>
        <v>-800</v>
      </c>
      <c r="P39" s="60">
        <f t="shared" si="3"/>
        <v>-4926.9227873743512</v>
      </c>
      <c r="Q39" s="60"/>
      <c r="R39" s="60">
        <f t="shared" si="5"/>
        <v>13233.077212625649</v>
      </c>
      <c r="S39" s="60"/>
      <c r="T39" s="93"/>
      <c r="U39" s="61"/>
      <c r="Z39" s="2"/>
    </row>
    <row r="40" spans="1:28" x14ac:dyDescent="0.2">
      <c r="A40" s="62" t="s">
        <v>52</v>
      </c>
      <c r="B40" s="63">
        <f t="shared" si="6"/>
        <v>880940.19263721455</v>
      </c>
      <c r="C40" s="63">
        <f t="shared" si="0"/>
        <v>1982.1154334337332</v>
      </c>
      <c r="D40" s="63">
        <f t="shared" si="1"/>
        <v>2944.8073539406178</v>
      </c>
      <c r="E40" s="64">
        <f t="shared" si="7"/>
        <v>877995.38528327388</v>
      </c>
      <c r="F40" s="68" t="s">
        <v>53</v>
      </c>
      <c r="G40" s="104">
        <f>G29*(1+$I$24)</f>
        <v>1477125</v>
      </c>
      <c r="H40" s="104">
        <f>+E52*$C$23</f>
        <v>8421.365955516123</v>
      </c>
      <c r="I40" s="105">
        <f>G40-E52-H40-E8</f>
        <v>388275.03849287168</v>
      </c>
      <c r="J40" s="66" t="s">
        <v>52</v>
      </c>
      <c r="K40" s="70">
        <v>45870</v>
      </c>
      <c r="L40" s="60">
        <f t="shared" si="9"/>
        <v>23700</v>
      </c>
      <c r="M40" s="60">
        <f t="shared" si="4"/>
        <v>-4740</v>
      </c>
      <c r="N40" s="60"/>
      <c r="O40" s="60">
        <f t="shared" si="2"/>
        <v>-800</v>
      </c>
      <c r="P40" s="60">
        <f t="shared" si="3"/>
        <v>-4926.9227873743512</v>
      </c>
      <c r="Q40" s="60"/>
      <c r="R40" s="60">
        <f t="shared" si="5"/>
        <v>13233.077212625649</v>
      </c>
      <c r="S40" s="60">
        <f>SUM(R29:R40)</f>
        <v>15016.926551507786</v>
      </c>
      <c r="T40" s="94">
        <f>SUM(S29:S40)</f>
        <v>15016.926551507786</v>
      </c>
      <c r="U40" s="69"/>
      <c r="Z40" s="2"/>
    </row>
    <row r="41" spans="1:28" x14ac:dyDescent="0.2">
      <c r="A41" s="62" t="s">
        <v>54</v>
      </c>
      <c r="B41" s="63">
        <f t="shared" si="6"/>
        <v>877995.38528327388</v>
      </c>
      <c r="C41" s="63">
        <f t="shared" si="0"/>
        <v>1975.4896168873665</v>
      </c>
      <c r="D41" s="63">
        <f t="shared" si="1"/>
        <v>2951.4331704869846</v>
      </c>
      <c r="E41" s="64">
        <f t="shared" si="7"/>
        <v>875043.95211278694</v>
      </c>
      <c r="F41" s="65"/>
      <c r="G41" s="101"/>
      <c r="H41" s="102"/>
      <c r="I41" s="103"/>
      <c r="J41" s="66" t="s">
        <v>54</v>
      </c>
      <c r="K41" s="70">
        <v>45901</v>
      </c>
      <c r="L41" s="73">
        <f>1800+1300+950</f>
        <v>4050</v>
      </c>
      <c r="M41" s="60">
        <f t="shared" si="4"/>
        <v>-810</v>
      </c>
      <c r="N41" s="60"/>
      <c r="O41" s="60">
        <f t="shared" si="2"/>
        <v>-800</v>
      </c>
      <c r="P41" s="60">
        <f t="shared" si="3"/>
        <v>-4926.9227873743512</v>
      </c>
      <c r="Q41" s="60"/>
      <c r="R41" s="60">
        <f t="shared" si="5"/>
        <v>-2486.9227873743512</v>
      </c>
      <c r="S41" s="60"/>
      <c r="T41" s="93"/>
      <c r="U41" s="61"/>
      <c r="Z41" s="2"/>
    </row>
    <row r="42" spans="1:28" x14ac:dyDescent="0.2">
      <c r="A42" s="62" t="s">
        <v>55</v>
      </c>
      <c r="B42" s="63">
        <f t="shared" si="6"/>
        <v>875043.95211278694</v>
      </c>
      <c r="C42" s="63">
        <f t="shared" si="0"/>
        <v>1968.8488922537708</v>
      </c>
      <c r="D42" s="63">
        <f t="shared" si="1"/>
        <v>2958.0738951205803</v>
      </c>
      <c r="E42" s="64">
        <f t="shared" si="7"/>
        <v>872085.87821766641</v>
      </c>
      <c r="F42" s="65"/>
      <c r="G42" s="101"/>
      <c r="H42" s="102"/>
      <c r="I42" s="103"/>
      <c r="J42" s="66" t="s">
        <v>55</v>
      </c>
      <c r="K42" s="70">
        <v>45931</v>
      </c>
      <c r="L42" s="60">
        <f t="shared" ref="L42:L73" si="10">1800+1300+950</f>
        <v>4050</v>
      </c>
      <c r="M42" s="60">
        <f t="shared" si="4"/>
        <v>-810</v>
      </c>
      <c r="N42" s="60">
        <f>-$H$9</f>
        <v>-4500</v>
      </c>
      <c r="O42" s="60">
        <f t="shared" si="2"/>
        <v>-800</v>
      </c>
      <c r="P42" s="60">
        <f t="shared" si="3"/>
        <v>-4926.9227873743512</v>
      </c>
      <c r="Q42" s="60"/>
      <c r="R42" s="60">
        <f t="shared" si="5"/>
        <v>-6986.9227873743512</v>
      </c>
      <c r="S42" s="60"/>
      <c r="T42" s="93"/>
      <c r="U42" s="61"/>
      <c r="Z42" s="2"/>
    </row>
    <row r="43" spans="1:28" x14ac:dyDescent="0.2">
      <c r="A43" s="62" t="s">
        <v>56</v>
      </c>
      <c r="B43" s="63">
        <f t="shared" si="6"/>
        <v>872085.87821766641</v>
      </c>
      <c r="C43" s="63">
        <f t="shared" si="0"/>
        <v>1962.1932259897496</v>
      </c>
      <c r="D43" s="63">
        <f t="shared" si="1"/>
        <v>2964.7295613846018</v>
      </c>
      <c r="E43" s="64">
        <f t="shared" si="7"/>
        <v>869121.14865628176</v>
      </c>
      <c r="F43" s="65"/>
      <c r="G43" s="101"/>
      <c r="H43" s="102"/>
      <c r="I43" s="103"/>
      <c r="J43" s="66" t="s">
        <v>56</v>
      </c>
      <c r="K43" s="70">
        <v>45962</v>
      </c>
      <c r="L43" s="60">
        <f t="shared" si="10"/>
        <v>4050</v>
      </c>
      <c r="M43" s="60">
        <f t="shared" si="4"/>
        <v>-810</v>
      </c>
      <c r="N43" s="60"/>
      <c r="O43" s="60">
        <f t="shared" si="2"/>
        <v>-800</v>
      </c>
      <c r="P43" s="60">
        <f t="shared" si="3"/>
        <v>-4926.9227873743512</v>
      </c>
      <c r="Q43" s="60"/>
      <c r="R43" s="60">
        <f t="shared" si="5"/>
        <v>-2486.9227873743512</v>
      </c>
      <c r="S43" s="60"/>
      <c r="T43" s="93"/>
      <c r="U43" s="61"/>
      <c r="Z43" s="2"/>
    </row>
    <row r="44" spans="1:28" x14ac:dyDescent="0.2">
      <c r="A44" s="62" t="s">
        <v>57</v>
      </c>
      <c r="B44" s="63">
        <f t="shared" si="6"/>
        <v>869121.14865628176</v>
      </c>
      <c r="C44" s="63">
        <f t="shared" si="0"/>
        <v>1955.5225844766344</v>
      </c>
      <c r="D44" s="63">
        <f t="shared" si="1"/>
        <v>2971.4002028977166</v>
      </c>
      <c r="E44" s="64">
        <f t="shared" si="7"/>
        <v>866149.74845338403</v>
      </c>
      <c r="F44" s="65"/>
      <c r="G44" s="101"/>
      <c r="H44" s="102"/>
      <c r="I44" s="103"/>
      <c r="J44" s="66" t="s">
        <v>57</v>
      </c>
      <c r="K44" s="70">
        <v>45992</v>
      </c>
      <c r="L44" s="60">
        <f t="shared" si="10"/>
        <v>4050</v>
      </c>
      <c r="M44" s="60">
        <f t="shared" si="4"/>
        <v>-810</v>
      </c>
      <c r="N44" s="60"/>
      <c r="O44" s="60">
        <f t="shared" si="2"/>
        <v>-800</v>
      </c>
      <c r="P44" s="60">
        <f t="shared" si="3"/>
        <v>-4926.9227873743512</v>
      </c>
      <c r="Q44" s="60"/>
      <c r="R44" s="60">
        <f t="shared" si="5"/>
        <v>-2486.9227873743512</v>
      </c>
      <c r="S44" s="60"/>
      <c r="T44" s="93"/>
      <c r="U44" s="61"/>
    </row>
    <row r="45" spans="1:28" x14ac:dyDescent="0.2">
      <c r="A45" s="62" t="s">
        <v>58</v>
      </c>
      <c r="B45" s="63">
        <f t="shared" si="6"/>
        <v>866149.74845338403</v>
      </c>
      <c r="C45" s="63">
        <f t="shared" si="0"/>
        <v>1948.8369340201143</v>
      </c>
      <c r="D45" s="63">
        <f t="shared" si="1"/>
        <v>2978.0858533542369</v>
      </c>
      <c r="E45" s="64">
        <f t="shared" si="7"/>
        <v>863171.66260002984</v>
      </c>
      <c r="F45" s="65"/>
      <c r="G45" s="101"/>
      <c r="H45" s="102"/>
      <c r="I45" s="103"/>
      <c r="J45" s="66" t="s">
        <v>58</v>
      </c>
      <c r="K45" s="70">
        <v>46023</v>
      </c>
      <c r="L45" s="60">
        <f t="shared" si="10"/>
        <v>4050</v>
      </c>
      <c r="M45" s="60">
        <f t="shared" si="4"/>
        <v>-810</v>
      </c>
      <c r="N45" s="60"/>
      <c r="O45" s="60">
        <f t="shared" si="2"/>
        <v>-800</v>
      </c>
      <c r="P45" s="60">
        <f t="shared" si="3"/>
        <v>-4926.9227873743512</v>
      </c>
      <c r="Q45" s="60"/>
      <c r="R45" s="60">
        <f t="shared" si="5"/>
        <v>-2486.9227873743512</v>
      </c>
      <c r="S45" s="60"/>
      <c r="T45" s="93"/>
      <c r="U45" s="61"/>
      <c r="Z45" s="53"/>
      <c r="AA45" s="2"/>
      <c r="AB45" s="2"/>
    </row>
    <row r="46" spans="1:28" x14ac:dyDescent="0.2">
      <c r="A46" s="62" t="s">
        <v>59</v>
      </c>
      <c r="B46" s="63">
        <f t="shared" si="6"/>
        <v>863171.66260002984</v>
      </c>
      <c r="C46" s="63">
        <f t="shared" si="0"/>
        <v>1942.1362408500672</v>
      </c>
      <c r="D46" s="63">
        <f t="shared" si="1"/>
        <v>2984.7865465242839</v>
      </c>
      <c r="E46" s="64">
        <f t="shared" si="7"/>
        <v>860186.87605350558</v>
      </c>
      <c r="F46" s="65"/>
      <c r="G46" s="101"/>
      <c r="H46" s="102"/>
      <c r="I46" s="103"/>
      <c r="J46" s="66" t="s">
        <v>59</v>
      </c>
      <c r="K46" s="70">
        <v>46054</v>
      </c>
      <c r="L46" s="60">
        <f t="shared" si="10"/>
        <v>4050</v>
      </c>
      <c r="M46" s="60">
        <f t="shared" si="4"/>
        <v>-810</v>
      </c>
      <c r="N46" s="60"/>
      <c r="O46" s="60">
        <f t="shared" si="2"/>
        <v>-800</v>
      </c>
      <c r="P46" s="60">
        <f t="shared" si="3"/>
        <v>-4926.9227873743512</v>
      </c>
      <c r="Q46" s="60"/>
      <c r="R46" s="60">
        <f t="shared" si="5"/>
        <v>-2486.9227873743512</v>
      </c>
      <c r="S46" s="60"/>
      <c r="T46" s="93"/>
      <c r="U46" s="61"/>
    </row>
    <row r="47" spans="1:28" x14ac:dyDescent="0.2">
      <c r="A47" s="62" t="s">
        <v>60</v>
      </c>
      <c r="B47" s="63">
        <f t="shared" si="6"/>
        <v>860186.87605350558</v>
      </c>
      <c r="C47" s="63">
        <f t="shared" si="0"/>
        <v>1935.4204711203877</v>
      </c>
      <c r="D47" s="63">
        <f t="shared" si="1"/>
        <v>2991.5023162539637</v>
      </c>
      <c r="E47" s="64">
        <f t="shared" si="7"/>
        <v>857195.37373725162</v>
      </c>
      <c r="F47" s="65"/>
      <c r="G47" s="101"/>
      <c r="H47" s="102"/>
      <c r="I47" s="103"/>
      <c r="J47" s="66" t="s">
        <v>60</v>
      </c>
      <c r="K47" s="70">
        <v>46082</v>
      </c>
      <c r="L47" s="60">
        <f t="shared" si="10"/>
        <v>4050</v>
      </c>
      <c r="M47" s="60">
        <f t="shared" si="4"/>
        <v>-810</v>
      </c>
      <c r="N47" s="60"/>
      <c r="O47" s="60">
        <f t="shared" si="2"/>
        <v>-800</v>
      </c>
      <c r="P47" s="60">
        <f t="shared" si="3"/>
        <v>-4926.9227873743512</v>
      </c>
      <c r="Q47" s="60"/>
      <c r="R47" s="60">
        <f t="shared" si="5"/>
        <v>-2486.9227873743512</v>
      </c>
      <c r="S47" s="60"/>
      <c r="T47" s="93"/>
      <c r="U47" s="61"/>
    </row>
    <row r="48" spans="1:28" x14ac:dyDescent="0.2">
      <c r="A48" s="62" t="s">
        <v>61</v>
      </c>
      <c r="B48" s="63">
        <f t="shared" si="6"/>
        <v>857195.37373725162</v>
      </c>
      <c r="C48" s="63">
        <f t="shared" si="0"/>
        <v>1928.6895909088164</v>
      </c>
      <c r="D48" s="63">
        <f t="shared" si="1"/>
        <v>2998.233196465535</v>
      </c>
      <c r="E48" s="64">
        <f t="shared" si="7"/>
        <v>854197.14054078609</v>
      </c>
      <c r="F48" s="65"/>
      <c r="G48" s="101"/>
      <c r="H48" s="102"/>
      <c r="I48" s="103"/>
      <c r="J48" s="66" t="s">
        <v>61</v>
      </c>
      <c r="K48" s="70">
        <v>46113</v>
      </c>
      <c r="L48" s="60">
        <f t="shared" si="10"/>
        <v>4050</v>
      </c>
      <c r="M48" s="60">
        <f t="shared" si="4"/>
        <v>-810</v>
      </c>
      <c r="N48" s="60"/>
      <c r="O48" s="60">
        <f t="shared" si="2"/>
        <v>-800</v>
      </c>
      <c r="P48" s="60">
        <f t="shared" si="3"/>
        <v>-4926.9227873743512</v>
      </c>
      <c r="Q48" s="60"/>
      <c r="R48" s="60">
        <f t="shared" si="5"/>
        <v>-2486.9227873743512</v>
      </c>
      <c r="S48" s="60"/>
      <c r="T48" s="93"/>
      <c r="U48" s="61"/>
    </row>
    <row r="49" spans="1:28" x14ac:dyDescent="0.2">
      <c r="A49" s="62" t="s">
        <v>62</v>
      </c>
      <c r="B49" s="63">
        <f t="shared" si="6"/>
        <v>854197.14054078609</v>
      </c>
      <c r="C49" s="63">
        <f t="shared" si="0"/>
        <v>1921.9435662167689</v>
      </c>
      <c r="D49" s="63">
        <f t="shared" si="1"/>
        <v>3004.9792211575823</v>
      </c>
      <c r="E49" s="64">
        <f t="shared" si="7"/>
        <v>851192.16131962847</v>
      </c>
      <c r="F49" s="65"/>
      <c r="G49" s="101"/>
      <c r="H49" s="102"/>
      <c r="I49" s="103"/>
      <c r="J49" s="66" t="s">
        <v>62</v>
      </c>
      <c r="K49" s="70">
        <v>46143</v>
      </c>
      <c r="L49" s="60">
        <f t="shared" si="10"/>
        <v>4050</v>
      </c>
      <c r="M49" s="60">
        <f t="shared" si="4"/>
        <v>-810</v>
      </c>
      <c r="N49" s="60"/>
      <c r="O49" s="60">
        <f t="shared" si="2"/>
        <v>-800</v>
      </c>
      <c r="P49" s="60">
        <f t="shared" si="3"/>
        <v>-4926.9227873743512</v>
      </c>
      <c r="Q49" s="60"/>
      <c r="R49" s="60">
        <f t="shared" si="5"/>
        <v>-2486.9227873743512</v>
      </c>
      <c r="S49" s="60"/>
      <c r="T49" s="93"/>
      <c r="U49" s="61"/>
      <c r="V49" s="12"/>
    </row>
    <row r="50" spans="1:28" x14ac:dyDescent="0.2">
      <c r="A50" s="62" t="s">
        <v>63</v>
      </c>
      <c r="B50" s="63">
        <f t="shared" si="6"/>
        <v>851192.16131962847</v>
      </c>
      <c r="C50" s="63">
        <f t="shared" si="0"/>
        <v>1915.1823629691644</v>
      </c>
      <c r="D50" s="63">
        <f t="shared" si="1"/>
        <v>3011.7404244051868</v>
      </c>
      <c r="E50" s="64">
        <f t="shared" si="7"/>
        <v>848180.42089522327</v>
      </c>
      <c r="F50" s="65"/>
      <c r="G50" s="101"/>
      <c r="H50" s="102"/>
      <c r="I50" s="103"/>
      <c r="J50" s="66" t="s">
        <v>63</v>
      </c>
      <c r="K50" s="70">
        <v>46174</v>
      </c>
      <c r="L50" s="60">
        <f>3800*4+1300+1800*4</f>
        <v>23700</v>
      </c>
      <c r="M50" s="60">
        <f t="shared" si="4"/>
        <v>-4740</v>
      </c>
      <c r="N50" s="60"/>
      <c r="O50" s="60">
        <f t="shared" si="2"/>
        <v>-800</v>
      </c>
      <c r="P50" s="60">
        <f t="shared" si="3"/>
        <v>-4926.9227873743512</v>
      </c>
      <c r="Q50" s="60"/>
      <c r="R50" s="60">
        <f t="shared" si="5"/>
        <v>13233.077212625649</v>
      </c>
      <c r="S50" s="60"/>
      <c r="T50" s="93"/>
      <c r="U50" s="61"/>
      <c r="Z50" s="53"/>
      <c r="AA50" s="2"/>
      <c r="AB50" s="2"/>
    </row>
    <row r="51" spans="1:28" x14ac:dyDescent="0.2">
      <c r="A51" s="62" t="s">
        <v>64</v>
      </c>
      <c r="B51" s="63">
        <f t="shared" si="6"/>
        <v>848180.42089522327</v>
      </c>
      <c r="C51" s="63">
        <f t="shared" si="0"/>
        <v>1908.4059470142527</v>
      </c>
      <c r="D51" s="63">
        <f t="shared" si="1"/>
        <v>3018.5168403600983</v>
      </c>
      <c r="E51" s="64">
        <f t="shared" si="7"/>
        <v>845161.90405486315</v>
      </c>
      <c r="F51" s="65"/>
      <c r="G51" s="101"/>
      <c r="H51" s="102"/>
      <c r="I51" s="103"/>
      <c r="J51" s="66" t="s">
        <v>64</v>
      </c>
      <c r="K51" s="70">
        <v>46204</v>
      </c>
      <c r="L51" s="60">
        <f t="shared" ref="L51:L52" si="11">3800*4+1300+1800*4</f>
        <v>23700</v>
      </c>
      <c r="M51" s="60">
        <f t="shared" si="4"/>
        <v>-4740</v>
      </c>
      <c r="N51" s="60"/>
      <c r="O51" s="60">
        <f t="shared" si="2"/>
        <v>-800</v>
      </c>
      <c r="P51" s="60">
        <f t="shared" si="3"/>
        <v>-4926.9227873743512</v>
      </c>
      <c r="Q51" s="60"/>
      <c r="R51" s="60">
        <f t="shared" si="5"/>
        <v>13233.077212625649</v>
      </c>
      <c r="S51" s="60"/>
      <c r="T51" s="93"/>
      <c r="U51" s="61"/>
      <c r="Z51" s="2"/>
    </row>
    <row r="52" spans="1:28" x14ac:dyDescent="0.2">
      <c r="A52" s="62" t="s">
        <v>65</v>
      </c>
      <c r="B52" s="63">
        <f t="shared" si="6"/>
        <v>845161.90405486315</v>
      </c>
      <c r="C52" s="63">
        <f t="shared" si="0"/>
        <v>1901.6142841234423</v>
      </c>
      <c r="D52" s="63">
        <f t="shared" si="1"/>
        <v>3025.3085032509089</v>
      </c>
      <c r="E52" s="64">
        <f t="shared" si="7"/>
        <v>842136.5955516122</v>
      </c>
      <c r="F52" s="68" t="s">
        <v>66</v>
      </c>
      <c r="G52" s="104">
        <f>G40*(1+$I$24)</f>
        <v>1491896.25</v>
      </c>
      <c r="H52" s="104">
        <f>+E64*$C$23</f>
        <v>8052.9754686263286</v>
      </c>
      <c r="I52" s="105">
        <f>G52-E64-H52-E8</f>
        <v>440253.72766874079</v>
      </c>
      <c r="J52" s="66" t="s">
        <v>65</v>
      </c>
      <c r="K52" s="70">
        <v>46235</v>
      </c>
      <c r="L52" s="60">
        <f t="shared" si="11"/>
        <v>23700</v>
      </c>
      <c r="M52" s="60">
        <f t="shared" si="4"/>
        <v>-4740</v>
      </c>
      <c r="N52" s="60"/>
      <c r="O52" s="60">
        <f t="shared" si="2"/>
        <v>-800</v>
      </c>
      <c r="P52" s="60">
        <f t="shared" si="3"/>
        <v>-4926.9227873743512</v>
      </c>
      <c r="Q52" s="60"/>
      <c r="R52" s="60">
        <f t="shared" si="5"/>
        <v>13233.077212625649</v>
      </c>
      <c r="S52" s="60">
        <f>SUM(R41:R52)</f>
        <v>12816.926551507786</v>
      </c>
      <c r="T52" s="94">
        <f>SUM(S41:S52)</f>
        <v>12816.926551507786</v>
      </c>
      <c r="U52" s="69"/>
    </row>
    <row r="53" spans="1:28" x14ac:dyDescent="0.2">
      <c r="A53" s="62" t="s">
        <v>67</v>
      </c>
      <c r="B53" s="63">
        <f t="shared" si="6"/>
        <v>842136.5955516122</v>
      </c>
      <c r="C53" s="63">
        <f t="shared" si="0"/>
        <v>1894.8073399911275</v>
      </c>
      <c r="D53" s="63">
        <f t="shared" si="1"/>
        <v>3032.1154473832239</v>
      </c>
      <c r="E53" s="64">
        <f t="shared" si="7"/>
        <v>839104.48010422895</v>
      </c>
      <c r="F53" s="65"/>
      <c r="G53" s="101"/>
      <c r="H53" s="102"/>
      <c r="I53" s="103"/>
      <c r="J53" s="66" t="s">
        <v>67</v>
      </c>
      <c r="K53" s="70">
        <v>46266</v>
      </c>
      <c r="L53" s="73">
        <f>1800+1300+950</f>
        <v>4050</v>
      </c>
      <c r="M53" s="60">
        <f t="shared" si="4"/>
        <v>-810</v>
      </c>
      <c r="N53" s="60"/>
      <c r="O53" s="60">
        <f t="shared" si="2"/>
        <v>-800</v>
      </c>
      <c r="P53" s="60">
        <f t="shared" si="3"/>
        <v>-4926.9227873743512</v>
      </c>
      <c r="Q53" s="60"/>
      <c r="R53" s="60">
        <f t="shared" si="5"/>
        <v>-2486.9227873743512</v>
      </c>
      <c r="S53" s="60"/>
      <c r="T53" s="93"/>
      <c r="U53" s="61"/>
    </row>
    <row r="54" spans="1:28" x14ac:dyDescent="0.2">
      <c r="A54" s="62" t="s">
        <v>68</v>
      </c>
      <c r="B54" s="63">
        <f t="shared" si="6"/>
        <v>839104.48010422895</v>
      </c>
      <c r="C54" s="63">
        <f t="shared" si="0"/>
        <v>1887.9850802345154</v>
      </c>
      <c r="D54" s="63">
        <f t="shared" si="1"/>
        <v>3038.9377071398358</v>
      </c>
      <c r="E54" s="64">
        <f t="shared" si="7"/>
        <v>836065.54239708907</v>
      </c>
      <c r="F54" s="65"/>
      <c r="G54" s="101"/>
      <c r="H54" s="102"/>
      <c r="I54" s="103"/>
      <c r="J54" s="66" t="s">
        <v>68</v>
      </c>
      <c r="K54" s="70">
        <v>46296</v>
      </c>
      <c r="L54" s="60">
        <f t="shared" ref="L54" si="12">1800+1300+950</f>
        <v>4050</v>
      </c>
      <c r="M54" s="60">
        <f t="shared" si="4"/>
        <v>-810</v>
      </c>
      <c r="N54" s="60">
        <f>-$H$9</f>
        <v>-4500</v>
      </c>
      <c r="O54" s="60">
        <f t="shared" si="2"/>
        <v>-800</v>
      </c>
      <c r="P54" s="60">
        <f t="shared" si="3"/>
        <v>-4926.9227873743512</v>
      </c>
      <c r="Q54" s="60"/>
      <c r="R54" s="60">
        <f t="shared" si="5"/>
        <v>-6986.9227873743512</v>
      </c>
      <c r="S54" s="60"/>
      <c r="T54" s="93"/>
      <c r="U54" s="61"/>
    </row>
    <row r="55" spans="1:28" x14ac:dyDescent="0.2">
      <c r="A55" s="62" t="s">
        <v>69</v>
      </c>
      <c r="B55" s="63">
        <f t="shared" si="6"/>
        <v>836065.54239708907</v>
      </c>
      <c r="C55" s="63">
        <f t="shared" si="0"/>
        <v>1881.1474703934507</v>
      </c>
      <c r="D55" s="63">
        <f t="shared" si="1"/>
        <v>3045.7753169809002</v>
      </c>
      <c r="E55" s="64">
        <f t="shared" si="7"/>
        <v>833019.76708010817</v>
      </c>
      <c r="F55" s="65"/>
      <c r="G55" s="101"/>
      <c r="H55" s="102"/>
      <c r="I55" s="103"/>
      <c r="J55" s="66" t="s">
        <v>69</v>
      </c>
      <c r="K55" s="70">
        <v>46327</v>
      </c>
      <c r="L55" s="60">
        <f t="shared" si="10"/>
        <v>4050</v>
      </c>
      <c r="M55" s="60">
        <f t="shared" si="4"/>
        <v>-810</v>
      </c>
      <c r="N55" s="60"/>
      <c r="O55" s="60">
        <f t="shared" si="2"/>
        <v>-800</v>
      </c>
      <c r="P55" s="60">
        <f t="shared" si="3"/>
        <v>-4926.9227873743512</v>
      </c>
      <c r="Q55" s="60"/>
      <c r="R55" s="60">
        <f t="shared" si="5"/>
        <v>-2486.9227873743512</v>
      </c>
      <c r="S55" s="60"/>
      <c r="T55" s="93"/>
      <c r="U55" s="61"/>
    </row>
    <row r="56" spans="1:28" x14ac:dyDescent="0.2">
      <c r="A56" s="62" t="s">
        <v>70</v>
      </c>
      <c r="B56" s="63">
        <f t="shared" si="6"/>
        <v>833019.76708010817</v>
      </c>
      <c r="C56" s="63">
        <f t="shared" si="0"/>
        <v>1874.2944759302436</v>
      </c>
      <c r="D56" s="63">
        <f t="shared" si="1"/>
        <v>3052.6283114441076</v>
      </c>
      <c r="E56" s="64">
        <f t="shared" si="7"/>
        <v>829967.1387686641</v>
      </c>
      <c r="F56" s="65"/>
      <c r="G56" s="101"/>
      <c r="H56" s="102"/>
      <c r="I56" s="103"/>
      <c r="J56" s="66" t="s">
        <v>70</v>
      </c>
      <c r="K56" s="70">
        <v>46357</v>
      </c>
      <c r="L56" s="60">
        <f t="shared" si="10"/>
        <v>4050</v>
      </c>
      <c r="M56" s="60">
        <f t="shared" si="4"/>
        <v>-810</v>
      </c>
      <c r="N56" s="60"/>
      <c r="O56" s="60">
        <f t="shared" si="2"/>
        <v>-800</v>
      </c>
      <c r="P56" s="60">
        <f t="shared" si="3"/>
        <v>-4926.9227873743512</v>
      </c>
      <c r="Q56" s="60"/>
      <c r="R56" s="60">
        <f t="shared" si="5"/>
        <v>-2486.9227873743512</v>
      </c>
      <c r="S56" s="60"/>
      <c r="T56" s="93"/>
      <c r="U56" s="61"/>
    </row>
    <row r="57" spans="1:28" x14ac:dyDescent="0.2">
      <c r="A57" s="62" t="s">
        <v>71</v>
      </c>
      <c r="B57" s="63">
        <f t="shared" si="6"/>
        <v>829967.1387686641</v>
      </c>
      <c r="C57" s="63">
        <f t="shared" si="0"/>
        <v>1867.4260622294944</v>
      </c>
      <c r="D57" s="63">
        <f t="shared" si="1"/>
        <v>3059.496725144857</v>
      </c>
      <c r="E57" s="64">
        <f t="shared" si="7"/>
        <v>826907.64204351918</v>
      </c>
      <c r="F57" s="65"/>
      <c r="G57" s="101"/>
      <c r="H57" s="102"/>
      <c r="I57" s="103"/>
      <c r="J57" s="66" t="s">
        <v>71</v>
      </c>
      <c r="K57" s="70">
        <v>46388</v>
      </c>
      <c r="L57" s="60">
        <f t="shared" si="10"/>
        <v>4050</v>
      </c>
      <c r="M57" s="60">
        <f t="shared" si="4"/>
        <v>-810</v>
      </c>
      <c r="N57" s="60"/>
      <c r="O57" s="60">
        <f t="shared" si="2"/>
        <v>-800</v>
      </c>
      <c r="P57" s="60">
        <f t="shared" si="3"/>
        <v>-4926.9227873743512</v>
      </c>
      <c r="Q57" s="60"/>
      <c r="R57" s="60">
        <f t="shared" si="5"/>
        <v>-2486.9227873743512</v>
      </c>
      <c r="S57" s="60"/>
      <c r="T57" s="93"/>
      <c r="U57" s="61"/>
    </row>
    <row r="58" spans="1:28" x14ac:dyDescent="0.2">
      <c r="A58" s="62" t="s">
        <v>72</v>
      </c>
      <c r="B58" s="63">
        <f t="shared" si="6"/>
        <v>826907.64204351918</v>
      </c>
      <c r="C58" s="63">
        <f t="shared" si="0"/>
        <v>1860.5421945979185</v>
      </c>
      <c r="D58" s="63">
        <f t="shared" si="1"/>
        <v>3066.3805927764324</v>
      </c>
      <c r="E58" s="64">
        <f t="shared" si="7"/>
        <v>823841.26145074272</v>
      </c>
      <c r="F58" s="65"/>
      <c r="G58" s="101"/>
      <c r="H58" s="102"/>
      <c r="I58" s="103"/>
      <c r="J58" s="66" t="s">
        <v>72</v>
      </c>
      <c r="K58" s="70">
        <v>46419</v>
      </c>
      <c r="L58" s="60">
        <f t="shared" si="10"/>
        <v>4050</v>
      </c>
      <c r="M58" s="60">
        <f t="shared" si="4"/>
        <v>-810</v>
      </c>
      <c r="N58" s="60"/>
      <c r="O58" s="60">
        <f t="shared" si="2"/>
        <v>-800</v>
      </c>
      <c r="P58" s="60">
        <f t="shared" si="3"/>
        <v>-4926.9227873743512</v>
      </c>
      <c r="Q58" s="60"/>
      <c r="R58" s="60">
        <f t="shared" si="5"/>
        <v>-2486.9227873743512</v>
      </c>
      <c r="S58" s="60"/>
      <c r="T58" s="93"/>
      <c r="U58" s="61"/>
    </row>
    <row r="59" spans="1:28" x14ac:dyDescent="0.2">
      <c r="A59" s="62" t="s">
        <v>73</v>
      </c>
      <c r="B59" s="63">
        <f t="shared" si="6"/>
        <v>823841.26145074272</v>
      </c>
      <c r="C59" s="63">
        <f t="shared" si="0"/>
        <v>1853.6428382641714</v>
      </c>
      <c r="D59" s="63">
        <f t="shared" si="1"/>
        <v>3073.2799491101796</v>
      </c>
      <c r="E59" s="64">
        <f t="shared" si="7"/>
        <v>820767.98150163249</v>
      </c>
      <c r="F59" s="65"/>
      <c r="G59" s="101"/>
      <c r="H59" s="102"/>
      <c r="I59" s="103"/>
      <c r="J59" s="66" t="s">
        <v>73</v>
      </c>
      <c r="K59" s="70">
        <v>46447</v>
      </c>
      <c r="L59" s="60">
        <f t="shared" si="10"/>
        <v>4050</v>
      </c>
      <c r="M59" s="60">
        <f t="shared" si="4"/>
        <v>-810</v>
      </c>
      <c r="N59" s="60"/>
      <c r="O59" s="60">
        <f t="shared" si="2"/>
        <v>-800</v>
      </c>
      <c r="P59" s="60">
        <f t="shared" si="3"/>
        <v>-4926.9227873743512</v>
      </c>
      <c r="Q59" s="60"/>
      <c r="R59" s="60">
        <f t="shared" si="5"/>
        <v>-2486.9227873743512</v>
      </c>
      <c r="S59" s="60"/>
      <c r="T59" s="93"/>
      <c r="U59" s="61"/>
    </row>
    <row r="60" spans="1:28" x14ac:dyDescent="0.2">
      <c r="A60" s="62" t="s">
        <v>74</v>
      </c>
      <c r="B60" s="63">
        <f t="shared" si="6"/>
        <v>820767.98150163249</v>
      </c>
      <c r="C60" s="63">
        <f t="shared" si="0"/>
        <v>1846.7279583786733</v>
      </c>
      <c r="D60" s="63">
        <f t="shared" si="1"/>
        <v>3080.1948289956781</v>
      </c>
      <c r="E60" s="64">
        <f t="shared" si="7"/>
        <v>817687.78667263687</v>
      </c>
      <c r="F60" s="65"/>
      <c r="G60" s="101"/>
      <c r="H60" s="102"/>
      <c r="I60" s="103"/>
      <c r="J60" s="66" t="s">
        <v>74</v>
      </c>
      <c r="K60" s="70">
        <v>46478</v>
      </c>
      <c r="L60" s="60">
        <f t="shared" si="10"/>
        <v>4050</v>
      </c>
      <c r="M60" s="60">
        <f t="shared" si="4"/>
        <v>-810</v>
      </c>
      <c r="N60" s="60"/>
      <c r="O60" s="60">
        <f t="shared" si="2"/>
        <v>-800</v>
      </c>
      <c r="P60" s="60">
        <f t="shared" si="3"/>
        <v>-4926.9227873743512</v>
      </c>
      <c r="Q60" s="60"/>
      <c r="R60" s="60">
        <f t="shared" si="5"/>
        <v>-2486.9227873743512</v>
      </c>
      <c r="S60" s="60"/>
      <c r="T60" s="93"/>
      <c r="U60" s="61"/>
    </row>
    <row r="61" spans="1:28" x14ac:dyDescent="0.2">
      <c r="A61" s="62" t="s">
        <v>75</v>
      </c>
      <c r="B61" s="63">
        <f t="shared" si="6"/>
        <v>817687.78667263687</v>
      </c>
      <c r="C61" s="63">
        <f t="shared" si="0"/>
        <v>1839.7975200134333</v>
      </c>
      <c r="D61" s="63">
        <f t="shared" si="1"/>
        <v>3087.1252673609179</v>
      </c>
      <c r="E61" s="64">
        <f t="shared" si="7"/>
        <v>814600.66140527593</v>
      </c>
      <c r="F61" s="65"/>
      <c r="G61" s="101"/>
      <c r="H61" s="102"/>
      <c r="I61" s="103"/>
      <c r="J61" s="66" t="s">
        <v>75</v>
      </c>
      <c r="K61" s="70">
        <v>46508</v>
      </c>
      <c r="L61" s="60">
        <f t="shared" si="10"/>
        <v>4050</v>
      </c>
      <c r="M61" s="60">
        <f t="shared" si="4"/>
        <v>-810</v>
      </c>
      <c r="N61" s="60"/>
      <c r="O61" s="60">
        <f t="shared" si="2"/>
        <v>-800</v>
      </c>
      <c r="P61" s="60">
        <f t="shared" si="3"/>
        <v>-4926.9227873743512</v>
      </c>
      <c r="Q61" s="60"/>
      <c r="R61" s="60">
        <f t="shared" si="5"/>
        <v>-2486.9227873743512</v>
      </c>
      <c r="S61" s="60"/>
      <c r="T61" s="93"/>
      <c r="U61" s="61"/>
    </row>
    <row r="62" spans="1:28" x14ac:dyDescent="0.2">
      <c r="A62" s="62" t="s">
        <v>76</v>
      </c>
      <c r="B62" s="63">
        <f t="shared" si="6"/>
        <v>814600.66140527593</v>
      </c>
      <c r="C62" s="63">
        <f t="shared" si="0"/>
        <v>1832.851488161871</v>
      </c>
      <c r="D62" s="63">
        <f t="shared" si="1"/>
        <v>3094.07129921248</v>
      </c>
      <c r="E62" s="64">
        <f t="shared" si="7"/>
        <v>811506.59010606341</v>
      </c>
      <c r="F62" s="65"/>
      <c r="G62" s="101"/>
      <c r="H62" s="102"/>
      <c r="I62" s="103"/>
      <c r="J62" s="66" t="s">
        <v>76</v>
      </c>
      <c r="K62" s="70">
        <v>46539</v>
      </c>
      <c r="L62" s="60">
        <f>3800*4+1300+1800*4</f>
        <v>23700</v>
      </c>
      <c r="M62" s="60">
        <f t="shared" si="4"/>
        <v>-4740</v>
      </c>
      <c r="N62" s="60"/>
      <c r="O62" s="60">
        <f t="shared" si="2"/>
        <v>-800</v>
      </c>
      <c r="P62" s="60">
        <f t="shared" si="3"/>
        <v>-4926.9227873743512</v>
      </c>
      <c r="Q62" s="60"/>
      <c r="R62" s="60">
        <f t="shared" si="5"/>
        <v>13233.077212625649</v>
      </c>
      <c r="S62" s="60"/>
      <c r="T62" s="93"/>
      <c r="U62" s="61"/>
    </row>
    <row r="63" spans="1:28" x14ac:dyDescent="0.2">
      <c r="A63" s="62" t="s">
        <v>77</v>
      </c>
      <c r="B63" s="63">
        <f t="shared" si="6"/>
        <v>811506.59010606341</v>
      </c>
      <c r="C63" s="63">
        <f t="shared" si="0"/>
        <v>1825.8898277386427</v>
      </c>
      <c r="D63" s="63">
        <f t="shared" si="1"/>
        <v>3101.0329596357087</v>
      </c>
      <c r="E63" s="64">
        <f t="shared" si="7"/>
        <v>808405.55714642769</v>
      </c>
      <c r="F63" s="65"/>
      <c r="G63" s="101"/>
      <c r="H63" s="102"/>
      <c r="I63" s="103"/>
      <c r="J63" s="66" t="s">
        <v>77</v>
      </c>
      <c r="K63" s="70">
        <v>46569</v>
      </c>
      <c r="L63" s="60">
        <f t="shared" ref="L63:L64" si="13">3800*4+1300+1800*4</f>
        <v>23700</v>
      </c>
      <c r="M63" s="60">
        <f t="shared" si="4"/>
        <v>-4740</v>
      </c>
      <c r="N63" s="60"/>
      <c r="O63" s="60">
        <f t="shared" si="2"/>
        <v>-800</v>
      </c>
      <c r="P63" s="60">
        <f t="shared" si="3"/>
        <v>-4926.9227873743512</v>
      </c>
      <c r="Q63" s="60"/>
      <c r="R63" s="60">
        <f t="shared" si="5"/>
        <v>13233.077212625649</v>
      </c>
      <c r="S63" s="60"/>
      <c r="T63" s="93"/>
      <c r="U63" s="61"/>
    </row>
    <row r="64" spans="1:28" x14ac:dyDescent="0.2">
      <c r="A64" s="62" t="s">
        <v>78</v>
      </c>
      <c r="B64" s="63">
        <f t="shared" si="6"/>
        <v>808405.55714642769</v>
      </c>
      <c r="C64" s="63">
        <f t="shared" si="0"/>
        <v>1818.9125035794625</v>
      </c>
      <c r="D64" s="63">
        <f t="shared" si="1"/>
        <v>3108.0102837948889</v>
      </c>
      <c r="E64" s="64">
        <f t="shared" si="7"/>
        <v>805297.54686263285</v>
      </c>
      <c r="F64" s="68" t="s">
        <v>79</v>
      </c>
      <c r="G64" s="104">
        <f>G52*(1+$I$24)</f>
        <v>1506815.2124999999</v>
      </c>
      <c r="H64" s="104">
        <f>+E76*$C$23</f>
        <v>7674.5144222651579</v>
      </c>
      <c r="I64" s="105">
        <f>G64-E76-H64-E8</f>
        <v>493397.25585121906</v>
      </c>
      <c r="J64" s="66" t="s">
        <v>78</v>
      </c>
      <c r="K64" s="70">
        <v>46600</v>
      </c>
      <c r="L64" s="60">
        <f t="shared" si="13"/>
        <v>23700</v>
      </c>
      <c r="M64" s="60">
        <f t="shared" si="4"/>
        <v>-4740</v>
      </c>
      <c r="N64" s="60"/>
      <c r="O64" s="60">
        <f t="shared" si="2"/>
        <v>-800</v>
      </c>
      <c r="P64" s="60">
        <f t="shared" si="3"/>
        <v>-4926.9227873743512</v>
      </c>
      <c r="Q64" s="60"/>
      <c r="R64" s="60">
        <f t="shared" si="5"/>
        <v>13233.077212625649</v>
      </c>
      <c r="S64" s="60">
        <f>SUM(R53:R64)</f>
        <v>12816.926551507786</v>
      </c>
      <c r="T64" s="94">
        <f>SUM(S53:S64)</f>
        <v>12816.926551507786</v>
      </c>
      <c r="U64" s="69"/>
    </row>
    <row r="65" spans="1:21" x14ac:dyDescent="0.2">
      <c r="A65" s="62" t="s">
        <v>80</v>
      </c>
      <c r="B65" s="63">
        <f t="shared" si="6"/>
        <v>805297.54686263285</v>
      </c>
      <c r="C65" s="63">
        <f t="shared" si="0"/>
        <v>1811.9194804409242</v>
      </c>
      <c r="D65" s="63">
        <f t="shared" si="1"/>
        <v>3115.0033069334268</v>
      </c>
      <c r="E65" s="64">
        <f t="shared" si="7"/>
        <v>802182.54355569941</v>
      </c>
      <c r="F65" s="65"/>
      <c r="G65" s="101"/>
      <c r="H65" s="102"/>
      <c r="I65" s="103"/>
      <c r="J65" s="66" t="s">
        <v>80</v>
      </c>
      <c r="K65" s="70">
        <v>46631</v>
      </c>
      <c r="L65" s="73">
        <f>1800+1300+950</f>
        <v>4050</v>
      </c>
      <c r="M65" s="60">
        <f t="shared" si="4"/>
        <v>-810</v>
      </c>
      <c r="N65" s="60"/>
      <c r="O65" s="60">
        <f t="shared" si="2"/>
        <v>-800</v>
      </c>
      <c r="P65" s="60">
        <f t="shared" si="3"/>
        <v>-4926.9227873743512</v>
      </c>
      <c r="Q65" s="60"/>
      <c r="R65" s="60">
        <f t="shared" si="5"/>
        <v>-2486.9227873743512</v>
      </c>
      <c r="S65" s="60"/>
      <c r="T65" s="93"/>
      <c r="U65" s="61"/>
    </row>
    <row r="66" spans="1:21" x14ac:dyDescent="0.2">
      <c r="A66" s="62" t="s">
        <v>81</v>
      </c>
      <c r="B66" s="63">
        <f t="shared" si="6"/>
        <v>802182.54355569941</v>
      </c>
      <c r="C66" s="63">
        <f t="shared" si="0"/>
        <v>1804.9107230003237</v>
      </c>
      <c r="D66" s="63">
        <f t="shared" si="1"/>
        <v>3122.0120643740274</v>
      </c>
      <c r="E66" s="64">
        <f t="shared" si="7"/>
        <v>799060.53149132535</v>
      </c>
      <c r="F66" s="65"/>
      <c r="G66" s="101"/>
      <c r="H66" s="102"/>
      <c r="I66" s="103"/>
      <c r="J66" s="66" t="s">
        <v>81</v>
      </c>
      <c r="K66" s="70">
        <v>46661</v>
      </c>
      <c r="L66" s="60">
        <f t="shared" ref="L66" si="14">1800+1300+950</f>
        <v>4050</v>
      </c>
      <c r="M66" s="60">
        <f t="shared" si="4"/>
        <v>-810</v>
      </c>
      <c r="N66" s="60">
        <f>-$H$9</f>
        <v>-4500</v>
      </c>
      <c r="O66" s="60">
        <f t="shared" si="2"/>
        <v>-800</v>
      </c>
      <c r="P66" s="60">
        <f t="shared" si="3"/>
        <v>-4926.9227873743512</v>
      </c>
      <c r="Q66" s="60"/>
      <c r="R66" s="60">
        <f t="shared" si="5"/>
        <v>-6986.9227873743512</v>
      </c>
      <c r="S66" s="60"/>
      <c r="T66" s="93"/>
      <c r="U66" s="61"/>
    </row>
    <row r="67" spans="1:21" x14ac:dyDescent="0.2">
      <c r="A67" s="62" t="s">
        <v>82</v>
      </c>
      <c r="B67" s="63">
        <f t="shared" si="6"/>
        <v>799060.53149132535</v>
      </c>
      <c r="C67" s="63">
        <f t="shared" si="0"/>
        <v>1797.8861958554824</v>
      </c>
      <c r="D67" s="63">
        <f t="shared" si="1"/>
        <v>3129.0365915188686</v>
      </c>
      <c r="E67" s="64">
        <f t="shared" si="7"/>
        <v>795931.49489980645</v>
      </c>
      <c r="F67" s="65"/>
      <c r="G67" s="101"/>
      <c r="H67" s="102"/>
      <c r="I67" s="103"/>
      <c r="J67" s="66" t="s">
        <v>82</v>
      </c>
      <c r="K67" s="70">
        <v>46692</v>
      </c>
      <c r="L67" s="60">
        <f t="shared" si="10"/>
        <v>4050</v>
      </c>
      <c r="M67" s="60">
        <f t="shared" si="4"/>
        <v>-810</v>
      </c>
      <c r="N67" s="60"/>
      <c r="O67" s="60">
        <f t="shared" si="2"/>
        <v>-800</v>
      </c>
      <c r="P67" s="60">
        <f t="shared" si="3"/>
        <v>-4926.9227873743512</v>
      </c>
      <c r="Q67" s="60"/>
      <c r="R67" s="60">
        <f t="shared" si="5"/>
        <v>-2486.9227873743512</v>
      </c>
      <c r="S67" s="60"/>
      <c r="T67" s="93"/>
      <c r="U67" s="61"/>
    </row>
    <row r="68" spans="1:21" x14ac:dyDescent="0.2">
      <c r="A68" s="62" t="s">
        <v>83</v>
      </c>
      <c r="B68" s="63">
        <f t="shared" si="6"/>
        <v>795931.49489980645</v>
      </c>
      <c r="C68" s="63">
        <f t="shared" si="0"/>
        <v>1790.8458635245649</v>
      </c>
      <c r="D68" s="63">
        <f t="shared" si="1"/>
        <v>3136.076923849786</v>
      </c>
      <c r="E68" s="64">
        <f t="shared" si="7"/>
        <v>792795.41797595669</v>
      </c>
      <c r="F68" s="65"/>
      <c r="G68" s="101"/>
      <c r="H68" s="102"/>
      <c r="I68" s="103"/>
      <c r="J68" s="66" t="s">
        <v>83</v>
      </c>
      <c r="K68" s="70">
        <v>46722</v>
      </c>
      <c r="L68" s="60">
        <f t="shared" si="10"/>
        <v>4050</v>
      </c>
      <c r="M68" s="60">
        <f t="shared" si="4"/>
        <v>-810</v>
      </c>
      <c r="N68" s="60"/>
      <c r="O68" s="60">
        <f t="shared" si="2"/>
        <v>-800</v>
      </c>
      <c r="P68" s="60">
        <f t="shared" si="3"/>
        <v>-4926.9227873743512</v>
      </c>
      <c r="Q68" s="60"/>
      <c r="R68" s="60">
        <f t="shared" si="5"/>
        <v>-2486.9227873743512</v>
      </c>
      <c r="S68" s="60"/>
      <c r="T68" s="93"/>
      <c r="U68" s="61"/>
    </row>
    <row r="69" spans="1:21" x14ac:dyDescent="0.2">
      <c r="A69" s="62" t="s">
        <v>84</v>
      </c>
      <c r="B69" s="63">
        <f t="shared" si="6"/>
        <v>792795.41797595669</v>
      </c>
      <c r="C69" s="63">
        <f t="shared" si="0"/>
        <v>1783.7896904459028</v>
      </c>
      <c r="D69" s="63">
        <f t="shared" si="1"/>
        <v>3143.1330969284481</v>
      </c>
      <c r="E69" s="64">
        <f t="shared" si="7"/>
        <v>789652.28487902822</v>
      </c>
      <c r="F69" s="65"/>
      <c r="G69" s="101"/>
      <c r="H69" s="102"/>
      <c r="I69" s="103"/>
      <c r="J69" s="66" t="s">
        <v>84</v>
      </c>
      <c r="K69" s="70">
        <v>46753</v>
      </c>
      <c r="L69" s="60">
        <f t="shared" si="10"/>
        <v>4050</v>
      </c>
      <c r="M69" s="60">
        <f t="shared" si="4"/>
        <v>-810</v>
      </c>
      <c r="N69" s="60"/>
      <c r="O69" s="60">
        <f t="shared" si="2"/>
        <v>-800</v>
      </c>
      <c r="P69" s="60">
        <f t="shared" si="3"/>
        <v>-4926.9227873743512</v>
      </c>
      <c r="Q69" s="60"/>
      <c r="R69" s="60">
        <f t="shared" si="5"/>
        <v>-2486.9227873743512</v>
      </c>
      <c r="S69" s="60"/>
      <c r="T69" s="93"/>
      <c r="U69" s="61"/>
    </row>
    <row r="70" spans="1:21" x14ac:dyDescent="0.2">
      <c r="A70" s="62" t="s">
        <v>85</v>
      </c>
      <c r="B70" s="63">
        <f t="shared" si="6"/>
        <v>789652.28487902822</v>
      </c>
      <c r="C70" s="63">
        <f t="shared" si="0"/>
        <v>1776.7176409778137</v>
      </c>
      <c r="D70" s="63">
        <f t="shared" si="1"/>
        <v>3150.2051463965372</v>
      </c>
      <c r="E70" s="64">
        <f t="shared" si="7"/>
        <v>786502.07973263168</v>
      </c>
      <c r="F70" s="65"/>
      <c r="G70" s="101"/>
      <c r="H70" s="102"/>
      <c r="I70" s="103"/>
      <c r="J70" s="66" t="s">
        <v>85</v>
      </c>
      <c r="K70" s="70">
        <v>46784</v>
      </c>
      <c r="L70" s="60">
        <f t="shared" si="10"/>
        <v>4050</v>
      </c>
      <c r="M70" s="60">
        <f t="shared" si="4"/>
        <v>-810</v>
      </c>
      <c r="N70" s="60"/>
      <c r="O70" s="60">
        <f t="shared" si="2"/>
        <v>-800</v>
      </c>
      <c r="P70" s="60">
        <f t="shared" si="3"/>
        <v>-4926.9227873743512</v>
      </c>
      <c r="Q70" s="60"/>
      <c r="R70" s="60">
        <f t="shared" si="5"/>
        <v>-2486.9227873743512</v>
      </c>
      <c r="S70" s="60"/>
      <c r="T70" s="93"/>
      <c r="U70" s="61"/>
    </row>
    <row r="71" spans="1:21" x14ac:dyDescent="0.2">
      <c r="A71" s="62" t="s">
        <v>86</v>
      </c>
      <c r="B71" s="63">
        <f t="shared" si="6"/>
        <v>786502.07973263168</v>
      </c>
      <c r="C71" s="63">
        <f t="shared" si="0"/>
        <v>1769.6296793984213</v>
      </c>
      <c r="D71" s="63">
        <f t="shared" si="1"/>
        <v>3157.2931079759301</v>
      </c>
      <c r="E71" s="64">
        <f t="shared" si="7"/>
        <v>783344.78662465571</v>
      </c>
      <c r="F71" s="65"/>
      <c r="G71" s="101"/>
      <c r="H71" s="102"/>
      <c r="I71" s="103"/>
      <c r="J71" s="66" t="s">
        <v>86</v>
      </c>
      <c r="K71" s="70">
        <v>46813</v>
      </c>
      <c r="L71" s="60">
        <f t="shared" si="10"/>
        <v>4050</v>
      </c>
      <c r="M71" s="60">
        <f t="shared" si="4"/>
        <v>-810</v>
      </c>
      <c r="N71" s="60"/>
      <c r="O71" s="60">
        <f t="shared" si="2"/>
        <v>-800</v>
      </c>
      <c r="P71" s="60">
        <f t="shared" si="3"/>
        <v>-4926.9227873743512</v>
      </c>
      <c r="Q71" s="60"/>
      <c r="R71" s="60">
        <f t="shared" si="5"/>
        <v>-2486.9227873743512</v>
      </c>
      <c r="S71" s="60"/>
      <c r="T71" s="93"/>
      <c r="U71" s="61"/>
    </row>
    <row r="72" spans="1:21" x14ac:dyDescent="0.2">
      <c r="A72" s="62" t="s">
        <v>87</v>
      </c>
      <c r="B72" s="63">
        <f t="shared" si="6"/>
        <v>783344.78662465571</v>
      </c>
      <c r="C72" s="63">
        <f t="shared" si="0"/>
        <v>1762.5257699054755</v>
      </c>
      <c r="D72" s="63">
        <f t="shared" si="1"/>
        <v>3164.3970174688757</v>
      </c>
      <c r="E72" s="64">
        <f t="shared" si="7"/>
        <v>780180.38960718678</v>
      </c>
      <c r="F72" s="65"/>
      <c r="G72" s="101"/>
      <c r="H72" s="102"/>
      <c r="I72" s="103"/>
      <c r="J72" s="66" t="s">
        <v>87</v>
      </c>
      <c r="K72" s="70">
        <v>46844</v>
      </c>
      <c r="L72" s="60">
        <f t="shared" si="10"/>
        <v>4050</v>
      </c>
      <c r="M72" s="60">
        <f t="shared" si="4"/>
        <v>-810</v>
      </c>
      <c r="N72" s="60"/>
      <c r="O72" s="60">
        <f t="shared" si="2"/>
        <v>-800</v>
      </c>
      <c r="P72" s="60">
        <f t="shared" si="3"/>
        <v>-4926.9227873743512</v>
      </c>
      <c r="Q72" s="60"/>
      <c r="R72" s="60">
        <f t="shared" si="5"/>
        <v>-2486.9227873743512</v>
      </c>
      <c r="S72" s="60"/>
      <c r="T72" s="93"/>
      <c r="U72" s="61"/>
    </row>
    <row r="73" spans="1:21" x14ac:dyDescent="0.2">
      <c r="A73" s="62" t="s">
        <v>88</v>
      </c>
      <c r="B73" s="63">
        <f t="shared" si="6"/>
        <v>780180.38960718678</v>
      </c>
      <c r="C73" s="63">
        <f t="shared" si="0"/>
        <v>1755.4058766161704</v>
      </c>
      <c r="D73" s="63">
        <f t="shared" si="1"/>
        <v>3171.5169107581805</v>
      </c>
      <c r="E73" s="64">
        <f t="shared" si="7"/>
        <v>777008.87269642856</v>
      </c>
      <c r="F73" s="65"/>
      <c r="G73" s="101"/>
      <c r="H73" s="102"/>
      <c r="I73" s="103"/>
      <c r="J73" s="66" t="s">
        <v>88</v>
      </c>
      <c r="K73" s="70">
        <v>46874</v>
      </c>
      <c r="L73" s="60">
        <f t="shared" si="10"/>
        <v>4050</v>
      </c>
      <c r="M73" s="60">
        <f t="shared" si="4"/>
        <v>-810</v>
      </c>
      <c r="N73" s="60"/>
      <c r="O73" s="60">
        <f t="shared" si="2"/>
        <v>-800</v>
      </c>
      <c r="P73" s="60">
        <f t="shared" si="3"/>
        <v>-4926.9227873743512</v>
      </c>
      <c r="Q73" s="60"/>
      <c r="R73" s="60">
        <f t="shared" si="5"/>
        <v>-2486.9227873743512</v>
      </c>
      <c r="S73" s="60"/>
      <c r="T73" s="93"/>
      <c r="U73" s="61"/>
    </row>
    <row r="74" spans="1:21" x14ac:dyDescent="0.2">
      <c r="A74" s="62" t="s">
        <v>89</v>
      </c>
      <c r="B74" s="63">
        <f t="shared" si="6"/>
        <v>777008.87269642856</v>
      </c>
      <c r="C74" s="63">
        <f t="shared" si="0"/>
        <v>1748.2699635669644</v>
      </c>
      <c r="D74" s="63">
        <f t="shared" si="1"/>
        <v>3178.652823807387</v>
      </c>
      <c r="E74" s="64">
        <f t="shared" si="7"/>
        <v>773830.21987262112</v>
      </c>
      <c r="F74" s="65"/>
      <c r="G74" s="101"/>
      <c r="H74" s="102"/>
      <c r="I74" s="103"/>
      <c r="J74" s="66" t="s">
        <v>89</v>
      </c>
      <c r="K74" s="70">
        <v>46905</v>
      </c>
      <c r="L74" s="60">
        <f>3800*4+1300+1800*4</f>
        <v>23700</v>
      </c>
      <c r="M74" s="60">
        <f t="shared" si="4"/>
        <v>-4740</v>
      </c>
      <c r="N74" s="60"/>
      <c r="O74" s="60">
        <f t="shared" si="2"/>
        <v>-800</v>
      </c>
      <c r="P74" s="60">
        <f t="shared" si="3"/>
        <v>-4926.9227873743512</v>
      </c>
      <c r="Q74" s="60"/>
      <c r="R74" s="60">
        <f t="shared" si="5"/>
        <v>13233.077212625649</v>
      </c>
      <c r="S74" s="60"/>
      <c r="T74" s="93"/>
      <c r="U74" s="61"/>
    </row>
    <row r="75" spans="1:21" x14ac:dyDescent="0.2">
      <c r="A75" s="62" t="s">
        <v>90</v>
      </c>
      <c r="B75" s="63">
        <f t="shared" si="6"/>
        <v>773830.21987262112</v>
      </c>
      <c r="C75" s="63">
        <f t="shared" si="0"/>
        <v>1741.1179947133978</v>
      </c>
      <c r="D75" s="63">
        <f t="shared" si="1"/>
        <v>3185.8047926609534</v>
      </c>
      <c r="E75" s="64">
        <f t="shared" si="7"/>
        <v>770644.41507996013</v>
      </c>
      <c r="F75" s="65"/>
      <c r="G75" s="101"/>
      <c r="H75" s="102"/>
      <c r="I75" s="103"/>
      <c r="J75" s="66" t="s">
        <v>90</v>
      </c>
      <c r="K75" s="70">
        <v>46935</v>
      </c>
      <c r="L75" s="60">
        <f t="shared" ref="L75:L76" si="15">3800*4+1300+1800*4</f>
        <v>23700</v>
      </c>
      <c r="M75" s="60">
        <f t="shared" si="4"/>
        <v>-4740</v>
      </c>
      <c r="N75" s="60"/>
      <c r="O75" s="60">
        <f t="shared" si="2"/>
        <v>-800</v>
      </c>
      <c r="P75" s="60">
        <f t="shared" si="3"/>
        <v>-4926.9227873743512</v>
      </c>
      <c r="Q75" s="60"/>
      <c r="R75" s="60">
        <f t="shared" si="5"/>
        <v>13233.077212625649</v>
      </c>
      <c r="S75" s="60"/>
      <c r="T75" s="93"/>
      <c r="U75" s="61"/>
    </row>
    <row r="76" spans="1:21" s="61" customFormat="1" ht="16" thickBot="1" x14ac:dyDescent="0.25">
      <c r="A76" s="87" t="s">
        <v>91</v>
      </c>
      <c r="B76" s="88">
        <f t="shared" si="6"/>
        <v>770644.41507996013</v>
      </c>
      <c r="C76" s="88">
        <f t="shared" si="0"/>
        <v>1733.9499339299107</v>
      </c>
      <c r="D76" s="88">
        <f t="shared" si="1"/>
        <v>3192.9728534444403</v>
      </c>
      <c r="E76" s="89">
        <f t="shared" si="7"/>
        <v>767451.44222651573</v>
      </c>
      <c r="F76" s="90" t="s">
        <v>92</v>
      </c>
      <c r="G76" s="106">
        <f>G64*(1+$I$24)</f>
        <v>1521883.3646249999</v>
      </c>
      <c r="H76" s="104"/>
      <c r="I76" s="105"/>
      <c r="J76" s="95" t="s">
        <v>91</v>
      </c>
      <c r="K76" s="70">
        <v>46966</v>
      </c>
      <c r="L76" s="60">
        <f t="shared" si="15"/>
        <v>23700</v>
      </c>
      <c r="M76" s="96">
        <f t="shared" si="4"/>
        <v>-4740</v>
      </c>
      <c r="N76" s="96"/>
      <c r="O76" s="60">
        <f t="shared" si="2"/>
        <v>-800</v>
      </c>
      <c r="P76" s="96">
        <f t="shared" si="3"/>
        <v>-4926.9227873743512</v>
      </c>
      <c r="Q76" s="96"/>
      <c r="R76" s="96">
        <f t="shared" si="5"/>
        <v>13233.077212625649</v>
      </c>
      <c r="S76" s="60">
        <f>SUM(R65:R76)</f>
        <v>12816.926551507786</v>
      </c>
      <c r="T76" s="97">
        <f>SUM(S65:S76)</f>
        <v>12816.926551507786</v>
      </c>
      <c r="U76" s="69"/>
    </row>
  </sheetData>
  <mergeCells count="28">
    <mergeCell ref="W27:AA27"/>
    <mergeCell ref="P24:R24"/>
    <mergeCell ref="W26:AA26"/>
    <mergeCell ref="A9:D9"/>
    <mergeCell ref="A4:D4"/>
    <mergeCell ref="A5:D5"/>
    <mergeCell ref="F13:I13"/>
    <mergeCell ref="A6:D6"/>
    <mergeCell ref="A7:D7"/>
    <mergeCell ref="A8:D8"/>
    <mergeCell ref="J26:T27"/>
    <mergeCell ref="A23:B24"/>
    <mergeCell ref="C23:C24"/>
    <mergeCell ref="A26:E27"/>
    <mergeCell ref="F26:I27"/>
    <mergeCell ref="A1:S1"/>
    <mergeCell ref="A19:B19"/>
    <mergeCell ref="A20:B20"/>
    <mergeCell ref="A21:B21"/>
    <mergeCell ref="A22:B22"/>
    <mergeCell ref="A13:C14"/>
    <mergeCell ref="A15:B15"/>
    <mergeCell ref="A16:B16"/>
    <mergeCell ref="A17:B17"/>
    <mergeCell ref="A18:B18"/>
    <mergeCell ref="A3:E3"/>
    <mergeCell ref="G3:H3"/>
    <mergeCell ref="O3:S3"/>
  </mergeCell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x Y G b U C x I J w a p A A A A + A A A A B I A H A B D b 2 5 m a W c v U G F j a 2 F n Z S 5 4 b W w g o h g A K K A U A A A A A A A A A A A A A A A A A A A A A A A A A A A A h Y + 9 D o I w F E Z f h X S n F / A H J J c y m D h J Y j Q x r g 0 U a I R i o F j e z c F H 8 h U k U d T N 8 T s 5 w / k e t z v G Q 1 1 Z V 9 F 2 s l E R c a l D L K H S J p O q i E i v c z s g M c M d T 8 + 8 E N Y o q y 4 c u i w i p d a X E M A Y Q 8 2 M N m 0 B n u O 4 c E q 2 h 7 Q U N S c f W f 6 X b a k 6 z V U q C M P j K 4 Z 5 1 F / R h b 8 M q D d 3 E S a M i V R f x R u L q Y P w A 3 H d V 7 p v B c t b e 7 N H m C b C + w V 7 A l B L A w Q U A A I A C A D F g Z t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Y G b U C i K R 7 g O A A A A E Q A A A B M A H A B G b 3 J t d W x h c y 9 T Z W N 0 a W 9 u M S 5 t I K I Y A C i g F A A A A A A A A A A A A A A A A A A A A A A A A A A A A C t O T S 7 J z M 9 T C I b Q h t Y A U E s B A i 0 A F A A C A A g A x Y G b U C x I J w a p A A A A + A A A A B I A A A A A A A A A A A A A A A A A A A A A A E N v b m Z p Z y 9 Q Y W N r Y W d l L n h t b F B L A Q I t A B Q A A g A I A M W B m 1 A P y u m r p A A A A O k A A A A T A A A A A A A A A A A A A A A A A P U A A A B b Q 2 9 u d G V u d F 9 U e X B l c 1 0 u e G 1 s U E s B A i 0 A F A A C A A g A x Y G b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m I + B l D C W J O m p y N O p F K J / c A A A A A A g A A A A A A E G Y A A A A B A A A g A A A A S T T q 7 g M 2 8 t z 4 L F 8 4 J u I y X i q i 0 9 s h F z y U R z O T 5 F F j z z c A A A A A D o A A A A A C A A A g A A A A A C y C x V F y D i Z G C a b 1 F j d o G n Q 7 U a 5 1 8 r 0 K B t U R 4 6 a p r 4 5 Q A A A A W x x y i 9 4 8 w I + / s 9 S Q X i W j t 5 Q i m m S V T n e y r P U l q K G p C h J u 0 A B u C J C B K q j U K / K D p E T y x 2 L n j 3 N E q P K D e F 2 0 p i i R y w c e v i T M 1 D q U P l q b p q / b v q h A A A A A Q q s a E K a f p p T L / I 3 s 4 u q 1 B M r m G 2 N 6 u f 2 U x i S l 9 l X t D B T 6 O / b e j e J b V C v y V D J S c f m G T d r K q 9 d x L e e 3 i U 6 H G 4 d e r A = = < / D a t a M a s h u p > 
</file>

<file path=customXml/itemProps1.xml><?xml version="1.0" encoding="utf-8"?>
<ds:datastoreItem xmlns:ds="http://schemas.openxmlformats.org/officeDocument/2006/customXml" ds:itemID="{78F55E96-184A-4B14-AF78-966B5237E0E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BUSINESS PLAN</vt:lpstr>
      <vt:lpstr>'BUSINESS PLAN'!http___www.logic_immo.com_detail_vente_28c7c67c_5e7f_88be_f804_77cd363590db.htm</vt:lpstr>
      <vt:lpstr>'BUSINESS PLAN'!Impression_des_titres</vt:lpstr>
      <vt:lpstr>'BUSINESS PLAN'!Zone_d_impression</vt:lpstr>
    </vt:vector>
  </TitlesOfParts>
  <Company>Fayat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TIMSIT David</dc:creator>
  <cp:lastModifiedBy>Guillaume MILLO</cp:lastModifiedBy>
  <cp:lastPrinted>2021-12-03T19:36:44Z</cp:lastPrinted>
  <dcterms:created xsi:type="dcterms:W3CDTF">2017-02-07T10:55:26Z</dcterms:created>
  <dcterms:modified xsi:type="dcterms:W3CDTF">2024-10-04T14:38:04Z</dcterms:modified>
</cp:coreProperties>
</file>