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c91d0d490c2f9f2/Video per Youtube/"/>
    </mc:Choice>
  </mc:AlternateContent>
  <xr:revisionPtr revIDLastSave="1327" documentId="13_ncr:1_{617E45EA-A117-488C-8FAE-9855AD9A34B6}" xr6:coauthVersionLast="47" xr6:coauthVersionMax="47" xr10:uidLastSave="{57D0D4F3-5FD2-4158-8A03-533265FB875A}"/>
  <bookViews>
    <workbookView xWindow="-96" yWindow="-96" windowWidth="23232" windowHeight="12432" xr2:uid="{9770B046-4107-4178-BC3E-02664103E52D}"/>
  </bookViews>
  <sheets>
    <sheet name="FPA" sheetId="2" r:id="rId1"/>
    <sheet name="FPN_FONTE" sheetId="1" r:id="rId2"/>
    <sheet name="FPN_COMETA" sheetId="11" r:id="rId3"/>
    <sheet name="PERSEO" sheetId="14" r:id="rId4"/>
    <sheet name="TFR" sheetId="5" r:id="rId5"/>
    <sheet name="TFR_VS_FPN" sheetId="6" r:id="rId6"/>
    <sheet name="FPA_VS_ETF" sheetId="9" r:id="rId7"/>
    <sheet name="ETFVsETF" sheetId="12" r:id="rId8"/>
    <sheet name="Rendite" sheetId="10" r:id="rId9"/>
    <sheet name="Foglio1" sheetId="15" r:id="rId10"/>
    <sheet name="Note" sheetId="13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  <c r="L12" i="5"/>
  <c r="L13" i="5" s="1"/>
  <c r="K12" i="5"/>
  <c r="K13" i="5"/>
  <c r="J12" i="5"/>
  <c r="J13" i="5"/>
  <c r="I12" i="5"/>
  <c r="I13" i="5"/>
  <c r="D19" i="10"/>
  <c r="D9" i="10" s="1"/>
  <c r="C31" i="10"/>
  <c r="C28" i="10"/>
  <c r="C26" i="10"/>
  <c r="C4" i="14"/>
  <c r="D6" i="10" l="1"/>
  <c r="D23" i="10" s="1"/>
  <c r="I7" i="10"/>
  <c r="I8" i="10" s="1"/>
  <c r="I9" i="10" s="1"/>
  <c r="I10" i="10" s="1"/>
  <c r="I11" i="10" s="1"/>
  <c r="I12" i="10" s="1"/>
  <c r="I13" i="10" s="1"/>
  <c r="I14" i="10" s="1"/>
  <c r="I15" i="10" s="1"/>
  <c r="I16" i="10" s="1"/>
  <c r="I17" i="10" s="1"/>
  <c r="I18" i="10" s="1"/>
  <c r="I19" i="10" s="1"/>
  <c r="I20" i="10" s="1"/>
  <c r="I21" i="10" s="1"/>
  <c r="I22" i="10" s="1"/>
  <c r="I23" i="10" s="1"/>
  <c r="I24" i="10" s="1"/>
  <c r="I25" i="10" s="1"/>
  <c r="I26" i="10" s="1"/>
  <c r="I27" i="10" s="1"/>
  <c r="I28" i="10" s="1"/>
  <c r="I29" i="10" s="1"/>
  <c r="I30" i="10" s="1"/>
  <c r="I31" i="10" s="1"/>
  <c r="I32" i="10" s="1"/>
  <c r="I33" i="10" s="1"/>
  <c r="I34" i="10" s="1"/>
  <c r="I35" i="10" s="1"/>
  <c r="I36" i="10" s="1"/>
  <c r="I37" i="10" s="1"/>
  <c r="I38" i="10" s="1"/>
  <c r="I39" i="10" s="1"/>
  <c r="I40" i="10" s="1"/>
  <c r="I41" i="10" s="1"/>
  <c r="I42" i="10" s="1"/>
  <c r="I43" i="10" s="1"/>
  <c r="I44" i="10" s="1"/>
  <c r="I45" i="10" s="1"/>
  <c r="I46" i="10" s="1"/>
  <c r="I47" i="10" s="1"/>
  <c r="I48" i="10" s="1"/>
  <c r="I49" i="10" s="1"/>
  <c r="I50" i="10" s="1"/>
  <c r="I51" i="10" s="1"/>
  <c r="I52" i="10" s="1"/>
  <c r="I53" i="10" s="1"/>
  <c r="I54" i="10" s="1"/>
  <c r="I55" i="10" s="1"/>
  <c r="I56" i="10" s="1"/>
  <c r="I57" i="10" s="1"/>
  <c r="I58" i="10" s="1"/>
  <c r="I59" i="10" s="1"/>
  <c r="I60" i="10" s="1"/>
  <c r="F3" i="14" l="1"/>
  <c r="H13" i="14"/>
  <c r="H12" i="14"/>
  <c r="H11" i="14"/>
  <c r="F7" i="14"/>
  <c r="C6" i="14"/>
  <c r="H5" i="14"/>
  <c r="C5" i="14"/>
  <c r="C7" i="14" s="1"/>
  <c r="C8" i="14" s="1"/>
  <c r="H4" i="14"/>
  <c r="H3" i="14"/>
  <c r="I21" i="12"/>
  <c r="I22" i="12" s="1"/>
  <c r="I4" i="12"/>
  <c r="J4" i="12" s="1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22" i="12"/>
  <c r="C11" i="9"/>
  <c r="I4" i="9" s="1"/>
  <c r="G17" i="12"/>
  <c r="G18" i="12" s="1"/>
  <c r="G19" i="12" s="1"/>
  <c r="G20" i="12" s="1"/>
  <c r="G21" i="12" s="1"/>
  <c r="C18" i="12"/>
  <c r="C20" i="12" s="1"/>
  <c r="C21" i="12" s="1"/>
  <c r="C22" i="12" s="1"/>
  <c r="G4" i="12"/>
  <c r="G5" i="12" s="1"/>
  <c r="G6" i="12" s="1"/>
  <c r="G7" i="12" s="1"/>
  <c r="G8" i="12" s="1"/>
  <c r="G9" i="12" s="1"/>
  <c r="G10" i="12" s="1"/>
  <c r="G11" i="12" s="1"/>
  <c r="G12" i="12" s="1"/>
  <c r="G13" i="12" s="1"/>
  <c r="G14" i="12" s="1"/>
  <c r="G15" i="12" s="1"/>
  <c r="G16" i="12" s="1"/>
  <c r="C24" i="12"/>
  <c r="C26" i="12" s="1"/>
  <c r="C27" i="12" s="1"/>
  <c r="C28" i="12" s="1"/>
  <c r="F4" i="12"/>
  <c r="G3" i="12"/>
  <c r="C1" i="12"/>
  <c r="F7" i="11"/>
  <c r="F7" i="1"/>
  <c r="D24" i="11"/>
  <c r="D23" i="11"/>
  <c r="F3" i="11" s="1"/>
  <c r="F4" i="11" s="1"/>
  <c r="H13" i="11"/>
  <c r="H12" i="11"/>
  <c r="H11" i="11"/>
  <c r="C6" i="11"/>
  <c r="H5" i="11"/>
  <c r="C5" i="11"/>
  <c r="C7" i="11" s="1"/>
  <c r="C8" i="11" s="1"/>
  <c r="H4" i="11"/>
  <c r="C4" i="11"/>
  <c r="H3" i="11"/>
  <c r="F3" i="1"/>
  <c r="H7" i="10"/>
  <c r="J6" i="10"/>
  <c r="J7" i="10" s="1"/>
  <c r="J8" i="10" s="1"/>
  <c r="J9" i="10" s="1"/>
  <c r="J10" i="10" s="1"/>
  <c r="J11" i="10" s="1"/>
  <c r="J12" i="10" s="1"/>
  <c r="J13" i="10" s="1"/>
  <c r="J14" i="10" s="1"/>
  <c r="J15" i="10" s="1"/>
  <c r="J16" i="10" s="1"/>
  <c r="J17" i="10" s="1"/>
  <c r="J18" i="10" s="1"/>
  <c r="J19" i="10" s="1"/>
  <c r="J20" i="10" s="1"/>
  <c r="J21" i="10" s="1"/>
  <c r="J22" i="10" s="1"/>
  <c r="J23" i="10" s="1"/>
  <c r="J24" i="10" s="1"/>
  <c r="J25" i="10" s="1"/>
  <c r="J26" i="10" s="1"/>
  <c r="J27" i="10" s="1"/>
  <c r="J28" i="10" s="1"/>
  <c r="J29" i="10" s="1"/>
  <c r="J30" i="10" s="1"/>
  <c r="J31" i="10" s="1"/>
  <c r="J32" i="10" s="1"/>
  <c r="J33" i="10" s="1"/>
  <c r="J34" i="10" s="1"/>
  <c r="J35" i="10" s="1"/>
  <c r="J36" i="10" s="1"/>
  <c r="J37" i="10" s="1"/>
  <c r="J38" i="10" s="1"/>
  <c r="J39" i="10" s="1"/>
  <c r="J40" i="10" s="1"/>
  <c r="J41" i="10" s="1"/>
  <c r="J42" i="10" s="1"/>
  <c r="J43" i="10" s="1"/>
  <c r="J44" i="10" s="1"/>
  <c r="J45" i="10" s="1"/>
  <c r="J46" i="10" s="1"/>
  <c r="J47" i="10" s="1"/>
  <c r="J48" i="10" s="1"/>
  <c r="J49" i="10" s="1"/>
  <c r="J50" i="10" s="1"/>
  <c r="J51" i="10" s="1"/>
  <c r="J52" i="10" s="1"/>
  <c r="J53" i="10" s="1"/>
  <c r="J54" i="10" s="1"/>
  <c r="J55" i="10" s="1"/>
  <c r="J56" i="10" s="1"/>
  <c r="J57" i="10" s="1"/>
  <c r="J58" i="10" s="1"/>
  <c r="J59" i="10" s="1"/>
  <c r="J60" i="10" s="1"/>
  <c r="C4" i="9"/>
  <c r="C1" i="9" s="1"/>
  <c r="G3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M6" i="9"/>
  <c r="M5" i="9"/>
  <c r="M4" i="9"/>
  <c r="F4" i="9"/>
  <c r="C25" i="9" s="1"/>
  <c r="C26" i="9" s="1"/>
  <c r="C23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19" i="6"/>
  <c r="F4" i="6"/>
  <c r="C15" i="6"/>
  <c r="C7" i="6"/>
  <c r="M6" i="6"/>
  <c r="C6" i="6"/>
  <c r="M5" i="6"/>
  <c r="C5" i="6"/>
  <c r="C22" i="6"/>
  <c r="M4" i="6"/>
  <c r="C1" i="6"/>
  <c r="C24" i="9"/>
  <c r="C24" i="6"/>
  <c r="C25" i="6"/>
  <c r="G4" i="6"/>
  <c r="G5" i="6"/>
  <c r="I4" i="6"/>
  <c r="I5" i="6"/>
  <c r="C8" i="6"/>
  <c r="C9" i="6"/>
  <c r="C10" i="6"/>
  <c r="C18" i="6"/>
  <c r="C19" i="6"/>
  <c r="C17" i="6"/>
  <c r="N15" i="5"/>
  <c r="N14" i="5"/>
  <c r="N12" i="5"/>
  <c r="N8" i="5"/>
  <c r="N9" i="5"/>
  <c r="N10" i="5"/>
  <c r="N11" i="5"/>
  <c r="N7" i="5"/>
  <c r="M11" i="5"/>
  <c r="L11" i="5"/>
  <c r="I10" i="5"/>
  <c r="J10" i="5"/>
  <c r="K10" i="5"/>
  <c r="K7" i="5"/>
  <c r="K8" i="5"/>
  <c r="K9" i="5"/>
  <c r="K11" i="5"/>
  <c r="K6" i="5"/>
  <c r="J7" i="5"/>
  <c r="J8" i="5"/>
  <c r="J9" i="5"/>
  <c r="J11" i="5"/>
  <c r="J6" i="5"/>
  <c r="I7" i="5"/>
  <c r="I8" i="5"/>
  <c r="I9" i="5"/>
  <c r="I11" i="5"/>
  <c r="I6" i="5"/>
  <c r="D7" i="5"/>
  <c r="Q6" i="5"/>
  <c r="D6" i="5"/>
  <c r="Q5" i="5"/>
  <c r="D5" i="5"/>
  <c r="M5" i="5"/>
  <c r="M6" i="5"/>
  <c r="M7" i="5"/>
  <c r="M8" i="5"/>
  <c r="M9" i="5"/>
  <c r="M10" i="5"/>
  <c r="Q4" i="5"/>
  <c r="D1" i="5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J4" i="6"/>
  <c r="H4" i="6"/>
  <c r="I6" i="6"/>
  <c r="J5" i="6"/>
  <c r="G6" i="6"/>
  <c r="H5" i="6"/>
  <c r="C20" i="6"/>
  <c r="L5" i="5"/>
  <c r="L6" i="5"/>
  <c r="L7" i="5"/>
  <c r="L8" i="5"/>
  <c r="L9" i="5"/>
  <c r="L10" i="5"/>
  <c r="D8" i="5"/>
  <c r="D9" i="5"/>
  <c r="D10" i="5"/>
  <c r="C1" i="2"/>
  <c r="F22" i="2"/>
  <c r="F4" i="2"/>
  <c r="H14" i="2"/>
  <c r="H13" i="2"/>
  <c r="H12" i="2"/>
  <c r="H6" i="2"/>
  <c r="H5" i="2"/>
  <c r="H4" i="2"/>
  <c r="F4" i="1"/>
  <c r="G4" i="1" s="1"/>
  <c r="C5" i="1"/>
  <c r="C4" i="1"/>
  <c r="C6" i="1"/>
  <c r="H13" i="1"/>
  <c r="H12" i="1"/>
  <c r="H11" i="1"/>
  <c r="H5" i="1"/>
  <c r="H4" i="1"/>
  <c r="H3" i="1"/>
  <c r="J44" i="9"/>
  <c r="G7" i="6"/>
  <c r="H6" i="6"/>
  <c r="I7" i="6"/>
  <c r="J6" i="6"/>
  <c r="E10" i="5"/>
  <c r="C5" i="2"/>
  <c r="C5" i="9" s="1"/>
  <c r="C7" i="2"/>
  <c r="C7" i="9" s="1"/>
  <c r="C6" i="2"/>
  <c r="C6" i="9" s="1"/>
  <c r="J45" i="9"/>
  <c r="G8" i="6"/>
  <c r="H7" i="6"/>
  <c r="I8" i="6"/>
  <c r="J7" i="6"/>
  <c r="J46" i="9"/>
  <c r="G9" i="6"/>
  <c r="H8" i="6"/>
  <c r="I9" i="6"/>
  <c r="J8" i="6"/>
  <c r="J48" i="9"/>
  <c r="J47" i="9"/>
  <c r="I10" i="6"/>
  <c r="J9" i="6"/>
  <c r="G10" i="6"/>
  <c r="H9" i="6"/>
  <c r="I11" i="6"/>
  <c r="J10" i="6"/>
  <c r="G11" i="6"/>
  <c r="H10" i="6"/>
  <c r="I12" i="6"/>
  <c r="J11" i="6"/>
  <c r="G12" i="6"/>
  <c r="H11" i="6"/>
  <c r="I13" i="6"/>
  <c r="J12" i="6"/>
  <c r="G13" i="6"/>
  <c r="H12" i="6"/>
  <c r="G14" i="6"/>
  <c r="H13" i="6"/>
  <c r="I14" i="6"/>
  <c r="J13" i="6"/>
  <c r="G15" i="6"/>
  <c r="H14" i="6"/>
  <c r="I15" i="6"/>
  <c r="J14" i="6"/>
  <c r="I16" i="6"/>
  <c r="J15" i="6"/>
  <c r="G16" i="6"/>
  <c r="H15" i="6"/>
  <c r="I17" i="6"/>
  <c r="J16" i="6"/>
  <c r="G17" i="6"/>
  <c r="H16" i="6"/>
  <c r="G18" i="6"/>
  <c r="H17" i="6"/>
  <c r="I18" i="6"/>
  <c r="J17" i="6"/>
  <c r="G19" i="6"/>
  <c r="H18" i="6"/>
  <c r="I19" i="6"/>
  <c r="J18" i="6"/>
  <c r="G20" i="6"/>
  <c r="H19" i="6"/>
  <c r="I20" i="6"/>
  <c r="J19" i="6"/>
  <c r="G21" i="6"/>
  <c r="H20" i="6"/>
  <c r="I21" i="6"/>
  <c r="J20" i="6"/>
  <c r="I22" i="6"/>
  <c r="J21" i="6"/>
  <c r="G22" i="6"/>
  <c r="H21" i="6"/>
  <c r="G23" i="6"/>
  <c r="H22" i="6"/>
  <c r="I23" i="6"/>
  <c r="J22" i="6"/>
  <c r="I24" i="6"/>
  <c r="J23" i="6"/>
  <c r="G24" i="6"/>
  <c r="H23" i="6"/>
  <c r="G25" i="6"/>
  <c r="H24" i="6"/>
  <c r="I25" i="6"/>
  <c r="J24" i="6"/>
  <c r="I26" i="6"/>
  <c r="J25" i="6"/>
  <c r="G26" i="6"/>
  <c r="H25" i="6"/>
  <c r="G27" i="6"/>
  <c r="H26" i="6"/>
  <c r="I27" i="6"/>
  <c r="J26" i="6"/>
  <c r="J29" i="9"/>
  <c r="I28" i="6"/>
  <c r="J27" i="6"/>
  <c r="G28" i="6"/>
  <c r="H27" i="6"/>
  <c r="J30" i="9"/>
  <c r="G29" i="6"/>
  <c r="H28" i="6"/>
  <c r="I29" i="6"/>
  <c r="J28" i="6"/>
  <c r="J31" i="9"/>
  <c r="G30" i="6"/>
  <c r="H29" i="6"/>
  <c r="I30" i="6"/>
  <c r="J29" i="6"/>
  <c r="J32" i="9"/>
  <c r="I31" i="6"/>
  <c r="J30" i="6"/>
  <c r="G31" i="6"/>
  <c r="H30" i="6"/>
  <c r="J33" i="9"/>
  <c r="G32" i="6"/>
  <c r="H31" i="6"/>
  <c r="I32" i="6"/>
  <c r="J31" i="6"/>
  <c r="J34" i="9"/>
  <c r="I33" i="6"/>
  <c r="J32" i="6"/>
  <c r="G33" i="6"/>
  <c r="H32" i="6"/>
  <c r="J35" i="9"/>
  <c r="G34" i="6"/>
  <c r="H33" i="6"/>
  <c r="I34" i="6"/>
  <c r="J33" i="6"/>
  <c r="J36" i="9"/>
  <c r="I35" i="6"/>
  <c r="J34" i="6"/>
  <c r="G35" i="6"/>
  <c r="H34" i="6"/>
  <c r="J37" i="9"/>
  <c r="G36" i="6"/>
  <c r="H35" i="6"/>
  <c r="I36" i="6"/>
  <c r="J35" i="6"/>
  <c r="J38" i="9"/>
  <c r="I37" i="6"/>
  <c r="J36" i="6"/>
  <c r="G37" i="6"/>
  <c r="H36" i="6"/>
  <c r="J39" i="9"/>
  <c r="G38" i="6"/>
  <c r="H37" i="6"/>
  <c r="I38" i="6"/>
  <c r="J37" i="6"/>
  <c r="G29" i="9"/>
  <c r="J40" i="9"/>
  <c r="I39" i="6"/>
  <c r="J38" i="6"/>
  <c r="G39" i="6"/>
  <c r="H38" i="6"/>
  <c r="H29" i="9"/>
  <c r="G30" i="9"/>
  <c r="J41" i="9"/>
  <c r="G40" i="6"/>
  <c r="H39" i="6"/>
  <c r="I40" i="6"/>
  <c r="J39" i="6"/>
  <c r="G31" i="9"/>
  <c r="H30" i="9"/>
  <c r="J42" i="9"/>
  <c r="J43" i="9"/>
  <c r="I41" i="6"/>
  <c r="J40" i="6"/>
  <c r="G41" i="6"/>
  <c r="H40" i="6"/>
  <c r="G32" i="9"/>
  <c r="H31" i="9"/>
  <c r="G42" i="6"/>
  <c r="H41" i="6"/>
  <c r="I42" i="6"/>
  <c r="J41" i="6"/>
  <c r="G33" i="9"/>
  <c r="H32" i="9"/>
  <c r="I43" i="6"/>
  <c r="J42" i="6"/>
  <c r="G43" i="6"/>
  <c r="H42" i="6"/>
  <c r="H33" i="9"/>
  <c r="G34" i="9"/>
  <c r="G44" i="6"/>
  <c r="H43" i="6"/>
  <c r="I44" i="6"/>
  <c r="J43" i="6"/>
  <c r="H34" i="9"/>
  <c r="G35" i="9"/>
  <c r="I45" i="6"/>
  <c r="J44" i="6"/>
  <c r="G45" i="6"/>
  <c r="H44" i="6"/>
  <c r="G36" i="9"/>
  <c r="H35" i="9"/>
  <c r="G46" i="6"/>
  <c r="H45" i="6"/>
  <c r="I46" i="6"/>
  <c r="J45" i="6"/>
  <c r="H36" i="9"/>
  <c r="G37" i="9"/>
  <c r="I47" i="6"/>
  <c r="J46" i="6"/>
  <c r="G47" i="6"/>
  <c r="H46" i="6"/>
  <c r="G38" i="9"/>
  <c r="H37" i="9"/>
  <c r="G48" i="6"/>
  <c r="H48" i="6"/>
  <c r="H47" i="6"/>
  <c r="I48" i="6"/>
  <c r="J48" i="6"/>
  <c r="J47" i="6"/>
  <c r="H38" i="9"/>
  <c r="G39" i="9"/>
  <c r="G40" i="9"/>
  <c r="H39" i="9"/>
  <c r="G41" i="9"/>
  <c r="H40" i="9"/>
  <c r="H41" i="9"/>
  <c r="G42" i="9"/>
  <c r="G43" i="9"/>
  <c r="H42" i="9"/>
  <c r="G44" i="9"/>
  <c r="H43" i="9"/>
  <c r="G45" i="9"/>
  <c r="H44" i="9"/>
  <c r="G46" i="9"/>
  <c r="H45" i="9"/>
  <c r="H46" i="9"/>
  <c r="G47" i="9"/>
  <c r="H47" i="9"/>
  <c r="G48" i="9"/>
  <c r="H48" i="9"/>
  <c r="F21" i="14" l="1"/>
  <c r="C11" i="14"/>
  <c r="C10" i="14"/>
  <c r="C9" i="14"/>
  <c r="C14" i="14"/>
  <c r="E8" i="14"/>
  <c r="F8" i="14" s="1"/>
  <c r="C13" i="14"/>
  <c r="F4" i="14"/>
  <c r="J4" i="9"/>
  <c r="I23" i="12"/>
  <c r="J22" i="12"/>
  <c r="J21" i="12"/>
  <c r="I5" i="12"/>
  <c r="C27" i="9"/>
  <c r="I5" i="9"/>
  <c r="H22" i="12"/>
  <c r="H4" i="12"/>
  <c r="H5" i="12"/>
  <c r="H8" i="10"/>
  <c r="H9" i="10" s="1"/>
  <c r="H10" i="10" s="1"/>
  <c r="H11" i="10" s="1"/>
  <c r="H12" i="10" s="1"/>
  <c r="H13" i="10" s="1"/>
  <c r="H14" i="10" s="1"/>
  <c r="H15" i="10" s="1"/>
  <c r="H16" i="10" s="1"/>
  <c r="H17" i="10" s="1"/>
  <c r="H18" i="10" s="1"/>
  <c r="H19" i="10" s="1"/>
  <c r="H20" i="10" s="1"/>
  <c r="H21" i="10" s="1"/>
  <c r="H22" i="10" s="1"/>
  <c r="H23" i="10" s="1"/>
  <c r="H24" i="10" s="1"/>
  <c r="H25" i="10" s="1"/>
  <c r="H26" i="10" s="1"/>
  <c r="H27" i="10" s="1"/>
  <c r="H28" i="10" s="1"/>
  <c r="H29" i="10" s="1"/>
  <c r="H30" i="10" s="1"/>
  <c r="H31" i="10" s="1"/>
  <c r="H32" i="10" s="1"/>
  <c r="H33" i="10" s="1"/>
  <c r="H34" i="10" s="1"/>
  <c r="H35" i="10" s="1"/>
  <c r="H36" i="10" s="1"/>
  <c r="H37" i="10" s="1"/>
  <c r="H38" i="10" s="1"/>
  <c r="H39" i="10" s="1"/>
  <c r="H40" i="10" s="1"/>
  <c r="H41" i="10" s="1"/>
  <c r="H42" i="10" s="1"/>
  <c r="H43" i="10" s="1"/>
  <c r="H44" i="10" s="1"/>
  <c r="H45" i="10" s="1"/>
  <c r="H46" i="10" s="1"/>
  <c r="H47" i="10" s="1"/>
  <c r="H48" i="10" s="1"/>
  <c r="H49" i="10" s="1"/>
  <c r="H50" i="10" s="1"/>
  <c r="H51" i="10" s="1"/>
  <c r="H52" i="10" s="1"/>
  <c r="H53" i="10" s="1"/>
  <c r="H54" i="10" s="1"/>
  <c r="H55" i="10" s="1"/>
  <c r="H56" i="10" s="1"/>
  <c r="H57" i="10" s="1"/>
  <c r="H58" i="10" s="1"/>
  <c r="H59" i="10" s="1"/>
  <c r="H60" i="10" s="1"/>
  <c r="F21" i="11"/>
  <c r="F5" i="11"/>
  <c r="C10" i="11"/>
  <c r="C9" i="11"/>
  <c r="C14" i="11"/>
  <c r="E8" i="11"/>
  <c r="C13" i="11"/>
  <c r="C11" i="11"/>
  <c r="G4" i="11"/>
  <c r="C7" i="1"/>
  <c r="C8" i="1" s="1"/>
  <c r="F5" i="1"/>
  <c r="C14" i="1"/>
  <c r="C11" i="1"/>
  <c r="C13" i="1"/>
  <c r="C9" i="1"/>
  <c r="C10" i="1"/>
  <c r="F21" i="1"/>
  <c r="E8" i="1"/>
  <c r="C8" i="2"/>
  <c r="C9" i="2" s="1"/>
  <c r="F5" i="14" l="1"/>
  <c r="G4" i="14"/>
  <c r="E10" i="14"/>
  <c r="F10" i="14" s="1"/>
  <c r="E9" i="14"/>
  <c r="F9" i="14" s="1"/>
  <c r="E14" i="14"/>
  <c r="E13" i="14"/>
  <c r="F13" i="14" s="1"/>
  <c r="E11" i="14"/>
  <c r="F11" i="14" s="1"/>
  <c r="C12" i="14"/>
  <c r="C15" i="14"/>
  <c r="I24" i="12"/>
  <c r="J23" i="12"/>
  <c r="J5" i="12"/>
  <c r="I6" i="12"/>
  <c r="J5" i="9"/>
  <c r="I6" i="9"/>
  <c r="H23" i="12"/>
  <c r="H6" i="12"/>
  <c r="E10" i="11"/>
  <c r="F10" i="11" s="1"/>
  <c r="E9" i="11"/>
  <c r="F9" i="11" s="1"/>
  <c r="E14" i="11"/>
  <c r="E13" i="11"/>
  <c r="F13" i="11" s="1"/>
  <c r="E11" i="11"/>
  <c r="F11" i="11" s="1"/>
  <c r="F8" i="11"/>
  <c r="C12" i="11"/>
  <c r="C15" i="11"/>
  <c r="C15" i="1"/>
  <c r="C17" i="1" s="1"/>
  <c r="C12" i="1"/>
  <c r="E14" i="1"/>
  <c r="E10" i="1"/>
  <c r="F10" i="1" s="1"/>
  <c r="E11" i="1"/>
  <c r="F11" i="1" s="1"/>
  <c r="F8" i="1"/>
  <c r="E13" i="1"/>
  <c r="F13" i="1" s="1"/>
  <c r="E9" i="1"/>
  <c r="C8" i="9"/>
  <c r="C10" i="2"/>
  <c r="E9" i="2"/>
  <c r="F9" i="2" s="1"/>
  <c r="C14" i="2"/>
  <c r="C11" i="2"/>
  <c r="C12" i="2"/>
  <c r="C9" i="9"/>
  <c r="C15" i="2"/>
  <c r="C17" i="14" l="1"/>
  <c r="C18" i="14"/>
  <c r="E12" i="14"/>
  <c r="E15" i="14" s="1"/>
  <c r="J24" i="12"/>
  <c r="I25" i="12"/>
  <c r="J6" i="12"/>
  <c r="I7" i="12"/>
  <c r="I7" i="9"/>
  <c r="J6" i="9"/>
  <c r="H24" i="12"/>
  <c r="H7" i="12"/>
  <c r="E12" i="11"/>
  <c r="E15" i="11" s="1"/>
  <c r="F15" i="11" s="1"/>
  <c r="C17" i="11"/>
  <c r="C18" i="11"/>
  <c r="C18" i="1"/>
  <c r="F9" i="1"/>
  <c r="E12" i="1"/>
  <c r="C16" i="2"/>
  <c r="E15" i="2"/>
  <c r="F15" i="2" s="1"/>
  <c r="E14" i="2"/>
  <c r="F14" i="2" s="1"/>
  <c r="E12" i="2"/>
  <c r="F12" i="2" s="1"/>
  <c r="E11" i="2"/>
  <c r="F11" i="2" s="1"/>
  <c r="E10" i="2"/>
  <c r="F10" i="2" s="1"/>
  <c r="C10" i="9"/>
  <c r="D10" i="2"/>
  <c r="C13" i="2"/>
  <c r="E17" i="14" l="1"/>
  <c r="F17" i="14" s="1"/>
  <c r="E18" i="14"/>
  <c r="F12" i="14"/>
  <c r="F18" i="14"/>
  <c r="F20" i="14"/>
  <c r="F15" i="14"/>
  <c r="I26" i="12"/>
  <c r="J25" i="12"/>
  <c r="I8" i="12"/>
  <c r="J7" i="12"/>
  <c r="I8" i="9"/>
  <c r="J7" i="9"/>
  <c r="H25" i="12"/>
  <c r="H8" i="12"/>
  <c r="F20" i="11"/>
  <c r="F12" i="11"/>
  <c r="E17" i="11"/>
  <c r="F17" i="11" s="1"/>
  <c r="E18" i="11"/>
  <c r="F18" i="11" s="1"/>
  <c r="F12" i="1"/>
  <c r="E15" i="1"/>
  <c r="E13" i="2"/>
  <c r="E16" i="2" s="1"/>
  <c r="F16" i="2" s="1"/>
  <c r="C19" i="2"/>
  <c r="C18" i="2"/>
  <c r="F21" i="2" l="1"/>
  <c r="C12" i="9" s="1"/>
  <c r="E18" i="2"/>
  <c r="F18" i="2" s="1"/>
  <c r="E19" i="2"/>
  <c r="F19" i="2" s="1"/>
  <c r="I27" i="12"/>
  <c r="J26" i="12"/>
  <c r="I9" i="12"/>
  <c r="J8" i="12"/>
  <c r="J8" i="9"/>
  <c r="I9" i="9"/>
  <c r="H26" i="12"/>
  <c r="H9" i="12"/>
  <c r="F20" i="1"/>
  <c r="E17" i="1"/>
  <c r="F17" i="1" s="1"/>
  <c r="F15" i="1"/>
  <c r="E18" i="1"/>
  <c r="F18" i="1" s="1"/>
  <c r="F13" i="2"/>
  <c r="F23" i="2" l="1"/>
  <c r="I28" i="12"/>
  <c r="J27" i="12"/>
  <c r="J9" i="12"/>
  <c r="I10" i="12"/>
  <c r="J9" i="9"/>
  <c r="I10" i="9"/>
  <c r="H27" i="12"/>
  <c r="H10" i="12"/>
  <c r="G4" i="9"/>
  <c r="H4" i="9" s="1"/>
  <c r="C18" i="9"/>
  <c r="J28" i="12" l="1"/>
  <c r="I29" i="12"/>
  <c r="J10" i="12"/>
  <c r="I11" i="12"/>
  <c r="J10" i="9"/>
  <c r="I11" i="9"/>
  <c r="H28" i="12"/>
  <c r="H11" i="12"/>
  <c r="G5" i="9"/>
  <c r="H5" i="9" s="1"/>
  <c r="C20" i="9"/>
  <c r="C21" i="9" s="1"/>
  <c r="C22" i="9" s="1"/>
  <c r="I30" i="12" l="1"/>
  <c r="J29" i="12"/>
  <c r="I12" i="12"/>
  <c r="J11" i="12"/>
  <c r="J11" i="9"/>
  <c r="I12" i="9"/>
  <c r="H29" i="12"/>
  <c r="H12" i="12"/>
  <c r="G6" i="9"/>
  <c r="G7" i="9" s="1"/>
  <c r="I31" i="12" l="1"/>
  <c r="J30" i="12"/>
  <c r="I13" i="12"/>
  <c r="J12" i="12"/>
  <c r="I13" i="9"/>
  <c r="J12" i="9"/>
  <c r="H30" i="12"/>
  <c r="H13" i="12"/>
  <c r="H6" i="9"/>
  <c r="H7" i="9"/>
  <c r="G8" i="9"/>
  <c r="I32" i="12" l="1"/>
  <c r="J31" i="12"/>
  <c r="J13" i="12"/>
  <c r="I14" i="12"/>
  <c r="J13" i="9"/>
  <c r="I14" i="9"/>
  <c r="H31" i="12"/>
  <c r="H14" i="12"/>
  <c r="H8" i="9"/>
  <c r="G9" i="9"/>
  <c r="J32" i="12" l="1"/>
  <c r="I33" i="12"/>
  <c r="J14" i="12"/>
  <c r="I15" i="12"/>
  <c r="I15" i="9"/>
  <c r="J14" i="9"/>
  <c r="H32" i="12"/>
  <c r="H15" i="12"/>
  <c r="H9" i="9"/>
  <c r="G10" i="9"/>
  <c r="I34" i="12" l="1"/>
  <c r="J33" i="12"/>
  <c r="J15" i="12"/>
  <c r="I16" i="12"/>
  <c r="I16" i="9"/>
  <c r="J15" i="9"/>
  <c r="H33" i="12"/>
  <c r="H16" i="12"/>
  <c r="H10" i="9"/>
  <c r="G11" i="9"/>
  <c r="I35" i="12" l="1"/>
  <c r="J34" i="12"/>
  <c r="I17" i="12"/>
  <c r="J16" i="12"/>
  <c r="J16" i="9"/>
  <c r="I17" i="9"/>
  <c r="H34" i="12"/>
  <c r="H17" i="12"/>
  <c r="H11" i="9"/>
  <c r="G12" i="9"/>
  <c r="I36" i="12" l="1"/>
  <c r="J35" i="12"/>
  <c r="J17" i="12"/>
  <c r="I18" i="12"/>
  <c r="I18" i="9"/>
  <c r="J17" i="9"/>
  <c r="H35" i="12"/>
  <c r="H18" i="12"/>
  <c r="H12" i="9"/>
  <c r="G13" i="9"/>
  <c r="J36" i="12" l="1"/>
  <c r="I37" i="12"/>
  <c r="J18" i="12"/>
  <c r="I19" i="12"/>
  <c r="J18" i="9"/>
  <c r="I19" i="9"/>
  <c r="H36" i="12"/>
  <c r="H19" i="12"/>
  <c r="H13" i="9"/>
  <c r="G14" i="9"/>
  <c r="I38" i="12" l="1"/>
  <c r="J37" i="12"/>
  <c r="I20" i="12"/>
  <c r="J20" i="12" s="1"/>
  <c r="J19" i="12"/>
  <c r="J19" i="9"/>
  <c r="I20" i="9"/>
  <c r="H37" i="12"/>
  <c r="H20" i="12"/>
  <c r="H14" i="9"/>
  <c r="G15" i="9"/>
  <c r="I39" i="12" l="1"/>
  <c r="J38" i="12"/>
  <c r="I21" i="9"/>
  <c r="J20" i="9"/>
  <c r="H38" i="12"/>
  <c r="H21" i="12"/>
  <c r="H15" i="9"/>
  <c r="G16" i="9"/>
  <c r="I40" i="12" l="1"/>
  <c r="J39" i="12"/>
  <c r="J21" i="9"/>
  <c r="I22" i="9"/>
  <c r="H39" i="12"/>
  <c r="H16" i="9"/>
  <c r="G17" i="9"/>
  <c r="J40" i="12" l="1"/>
  <c r="I41" i="12"/>
  <c r="I23" i="9"/>
  <c r="J22" i="9"/>
  <c r="H40" i="12"/>
  <c r="H17" i="9"/>
  <c r="G18" i="9"/>
  <c r="I42" i="12" l="1"/>
  <c r="J41" i="12"/>
  <c r="I24" i="9"/>
  <c r="J23" i="9"/>
  <c r="H41" i="12"/>
  <c r="H18" i="9"/>
  <c r="G19" i="9"/>
  <c r="I43" i="12" l="1"/>
  <c r="J42" i="12"/>
  <c r="J24" i="9"/>
  <c r="I25" i="9"/>
  <c r="H42" i="12"/>
  <c r="H19" i="9"/>
  <c r="G20" i="9"/>
  <c r="I44" i="12" l="1"/>
  <c r="J43" i="12"/>
  <c r="J25" i="9"/>
  <c r="I26" i="9"/>
  <c r="H43" i="12"/>
  <c r="H20" i="9"/>
  <c r="G21" i="9"/>
  <c r="J44" i="12" l="1"/>
  <c r="I45" i="12"/>
  <c r="J26" i="9"/>
  <c r="I27" i="9"/>
  <c r="H44" i="12"/>
  <c r="H21" i="9"/>
  <c r="G22" i="9"/>
  <c r="I46" i="12" l="1"/>
  <c r="J45" i="12"/>
  <c r="J27" i="9"/>
  <c r="I28" i="9"/>
  <c r="J28" i="9" s="1"/>
  <c r="H45" i="12"/>
  <c r="H22" i="9"/>
  <c r="G23" i="9"/>
  <c r="I47" i="12" l="1"/>
  <c r="J46" i="12"/>
  <c r="H46" i="12"/>
  <c r="H23" i="9"/>
  <c r="G24" i="9"/>
  <c r="I48" i="12" l="1"/>
  <c r="J47" i="12"/>
  <c r="H47" i="12"/>
  <c r="H24" i="9"/>
  <c r="G25" i="9"/>
  <c r="J48" i="12" l="1"/>
  <c r="I49" i="12"/>
  <c r="H48" i="12"/>
  <c r="H25" i="9"/>
  <c r="G26" i="9"/>
  <c r="I50" i="12" l="1"/>
  <c r="J49" i="12"/>
  <c r="H49" i="12"/>
  <c r="H26" i="9"/>
  <c r="G27" i="9"/>
  <c r="I51" i="12" l="1"/>
  <c r="J50" i="12"/>
  <c r="H50" i="12"/>
  <c r="H27" i="9"/>
  <c r="G28" i="9"/>
  <c r="H28" i="9" s="1"/>
  <c r="I52" i="12" l="1"/>
  <c r="J51" i="12"/>
  <c r="H51" i="12"/>
  <c r="J52" i="12" l="1"/>
  <c r="I53" i="12"/>
  <c r="H52" i="12"/>
  <c r="I54" i="12" l="1"/>
  <c r="J53" i="12"/>
  <c r="H53" i="12"/>
  <c r="I55" i="12" l="1"/>
  <c r="J54" i="12"/>
  <c r="H54" i="12"/>
  <c r="I56" i="12" l="1"/>
  <c r="J55" i="12"/>
  <c r="H55" i="12"/>
  <c r="J56" i="12" l="1"/>
  <c r="I57" i="12"/>
  <c r="H56" i="12"/>
  <c r="I58" i="12" l="1"/>
  <c r="J57" i="12"/>
  <c r="H57" i="12"/>
  <c r="I59" i="12" l="1"/>
  <c r="J58" i="12"/>
  <c r="H58" i="12"/>
  <c r="I60" i="12" l="1"/>
  <c r="J59" i="12"/>
  <c r="H59" i="12"/>
  <c r="J60" i="12" l="1"/>
  <c r="I61" i="12"/>
  <c r="H60" i="12"/>
  <c r="I62" i="12" l="1"/>
  <c r="J61" i="12"/>
  <c r="H61" i="12"/>
  <c r="I63" i="12" l="1"/>
  <c r="J62" i="12"/>
  <c r="H62" i="12"/>
  <c r="I64" i="12" l="1"/>
  <c r="J63" i="12"/>
  <c r="H63" i="12"/>
  <c r="J64" i="12" l="1"/>
  <c r="I65" i="12"/>
  <c r="H64" i="12"/>
  <c r="I66" i="12" l="1"/>
  <c r="J65" i="12"/>
  <c r="H65" i="12"/>
  <c r="I67" i="12" l="1"/>
  <c r="J66" i="12"/>
  <c r="H66" i="12"/>
  <c r="I68" i="12" l="1"/>
  <c r="J68" i="12" s="1"/>
  <c r="J67" i="12"/>
  <c r="H67" i="12"/>
  <c r="H68" i="12"/>
</calcChain>
</file>

<file path=xl/sharedStrings.xml><?xml version="1.0" encoding="utf-8"?>
<sst xmlns="http://schemas.openxmlformats.org/spreadsheetml/2006/main" count="414" uniqueCount="136">
  <si>
    <t>Trattenuta INPS</t>
  </si>
  <si>
    <t>Trattenuta INPS aggiuntiva</t>
  </si>
  <si>
    <t>A</t>
  </si>
  <si>
    <t>B</t>
  </si>
  <si>
    <t>C</t>
  </si>
  <si>
    <t>Imponibile IRPEF=A-B-C</t>
  </si>
  <si>
    <t>D</t>
  </si>
  <si>
    <t>0-15000</t>
  </si>
  <si>
    <t>15000,01-28000</t>
  </si>
  <si>
    <t>28000,01-50000</t>
  </si>
  <si>
    <t>&gt;50000,01</t>
  </si>
  <si>
    <t>Imposta IRPEF</t>
  </si>
  <si>
    <t>E</t>
  </si>
  <si>
    <t>F</t>
  </si>
  <si>
    <t>Addizionale Regionale</t>
  </si>
  <si>
    <t>G</t>
  </si>
  <si>
    <t>Addizionale Comunale</t>
  </si>
  <si>
    <t>Aliquota IRPEF</t>
  </si>
  <si>
    <t>0-23000</t>
  </si>
  <si>
    <t>&gt;23000</t>
  </si>
  <si>
    <t>H</t>
  </si>
  <si>
    <t>Totale trattenute INPS</t>
  </si>
  <si>
    <t>Detrazioni</t>
  </si>
  <si>
    <t>I</t>
  </si>
  <si>
    <t>Voce</t>
  </si>
  <si>
    <t>Descrizione</t>
  </si>
  <si>
    <t>Scaglioni</t>
  </si>
  <si>
    <t>Totale trattenute IRPEF</t>
  </si>
  <si>
    <t>Detrazioni dipendente</t>
  </si>
  <si>
    <t>1910+1190*(28000-reddito complessivo)/13000</t>
  </si>
  <si>
    <t>Ulteriori Detrazioni</t>
  </si>
  <si>
    <t>Ulteriore detrazione Dipednente</t>
  </si>
  <si>
    <t>25000&lt;Reddito&lt;=35000</t>
  </si>
  <si>
    <t>Soglie</t>
  </si>
  <si>
    <t>1910*(50000-reddito complessivo)/22000</t>
  </si>
  <si>
    <t>Add. Regionale Lombardia</t>
  </si>
  <si>
    <t>Add. Comunale Milano</t>
  </si>
  <si>
    <t>L</t>
  </si>
  <si>
    <t>NETTO= (D-E-F-G+H+I)</t>
  </si>
  <si>
    <t>Investimento</t>
  </si>
  <si>
    <t>RAL= Imponibile INPS = Imponibile TFR</t>
  </si>
  <si>
    <t>TFR (Imponibile*6,907%)</t>
  </si>
  <si>
    <t>Quota Datoriale (1,55% Imp. TFR)</t>
  </si>
  <si>
    <t>Netto 13 mensilità</t>
  </si>
  <si>
    <t>Netto 14 mensilità</t>
  </si>
  <si>
    <t>Residuo saturazione aderente</t>
  </si>
  <si>
    <t>Soglia Max Deducibilità</t>
  </si>
  <si>
    <t>Totale massimo Deducibile</t>
  </si>
  <si>
    <t>Quota Aderente (min0,55% Imp.TFR)</t>
  </si>
  <si>
    <t>Quota aggiuntiva</t>
  </si>
  <si>
    <t>Totale Versamenti aggiuntivi FPA</t>
  </si>
  <si>
    <t>TFR (Imponibile TFR*6,907%)</t>
  </si>
  <si>
    <t>Totale Versamenti aggiuntivi FPN</t>
  </si>
  <si>
    <t>Quota Aderente</t>
  </si>
  <si>
    <t xml:space="preserve"> </t>
  </si>
  <si>
    <t>Trattenute dalla busta paga</t>
  </si>
  <si>
    <t>Bonifico Volontario</t>
  </si>
  <si>
    <t>Costo Azienda</t>
  </si>
  <si>
    <t>Anno</t>
  </si>
  <si>
    <t>Inflazione</t>
  </si>
  <si>
    <t>TFR</t>
  </si>
  <si>
    <t>Rivalutazione Lorda</t>
  </si>
  <si>
    <t>Rivalutazione Netta</t>
  </si>
  <si>
    <t>Conferimenti</t>
  </si>
  <si>
    <t>Tassazione</t>
  </si>
  <si>
    <t>FOIxT</t>
  </si>
  <si>
    <t>Saldo Tfr</t>
  </si>
  <si>
    <t>Rendimento annuo FPN</t>
  </si>
  <si>
    <t>Inflazione FOIxT</t>
  </si>
  <si>
    <t>Orizzonte Temporale</t>
  </si>
  <si>
    <t>Ren.annuo TFR=(1,5% + 0,75 * FOIxT%) * 0,83</t>
  </si>
  <si>
    <t>Montante TFR</t>
  </si>
  <si>
    <t>Montante FPN</t>
  </si>
  <si>
    <t>Tassazione Conferimenti</t>
  </si>
  <si>
    <t>Saldo TFR</t>
  </si>
  <si>
    <t>Saldo TFR in azienda</t>
  </si>
  <si>
    <t>Saldo TFR in FPN</t>
  </si>
  <si>
    <t>Saldo FPN</t>
  </si>
  <si>
    <t>Tassazione FPN</t>
  </si>
  <si>
    <t>i</t>
  </si>
  <si>
    <t>n</t>
  </si>
  <si>
    <t>Vers. Annuo</t>
  </si>
  <si>
    <t>Montante TFR in Azienda</t>
  </si>
  <si>
    <t>Anni</t>
  </si>
  <si>
    <t>Imposta sui conferimenti</t>
  </si>
  <si>
    <t>Montante ETF</t>
  </si>
  <si>
    <t>Saldo ETF</t>
  </si>
  <si>
    <t>Imposta sul capital GAIN</t>
  </si>
  <si>
    <t>Tassazione Capital Gain</t>
  </si>
  <si>
    <t>Capital Gain</t>
  </si>
  <si>
    <t>Montante FPA</t>
  </si>
  <si>
    <t>Tassazione FPA</t>
  </si>
  <si>
    <t>Quota Aderente Annua FPA</t>
  </si>
  <si>
    <t>Investimento Annuo ETF</t>
  </si>
  <si>
    <t>Montante netto FPA</t>
  </si>
  <si>
    <t>Montante netto ETF</t>
  </si>
  <si>
    <t>Rendimento annuo FPA (100% az)</t>
  </si>
  <si>
    <t>Rendimento annuo ETF (100% az)</t>
  </si>
  <si>
    <t>Saldo FPA</t>
  </si>
  <si>
    <t>Prima Rata</t>
  </si>
  <si>
    <t>Coeff Rivalutazione</t>
  </si>
  <si>
    <t>Amundi</t>
  </si>
  <si>
    <t>Paga base B3</t>
  </si>
  <si>
    <t>Quota datoriale</t>
  </si>
  <si>
    <t>Quota aderente</t>
  </si>
  <si>
    <t>Quota Aderente (min 1,22% Paga Base)</t>
  </si>
  <si>
    <t>Quota Datoriale (2% Paga Base)</t>
  </si>
  <si>
    <t>Montante ETF 1</t>
  </si>
  <si>
    <t>Montante ETF 2</t>
  </si>
  <si>
    <t>Rendimento annuo ETF1</t>
  </si>
  <si>
    <t xml:space="preserve">Rendimento annuo ETF2 </t>
  </si>
  <si>
    <t>Investimento Annuo ETF 1</t>
  </si>
  <si>
    <t>Investimento Annuo ETF 2</t>
  </si>
  <si>
    <t>Montante netto ETF 2</t>
  </si>
  <si>
    <t>Montante netto ETF 1</t>
  </si>
  <si>
    <t>Orizzonte Temporale 2</t>
  </si>
  <si>
    <t>Per eseguire i calcoli è sufficiente immettere i vlaori nelle celle colorate di verde</t>
  </si>
  <si>
    <t>Ecco l'indice degli argomenti</t>
  </si>
  <si>
    <t>FPA: foglio per simulazioni con FPA generiuco</t>
  </si>
  <si>
    <t>FPN_FONTE: foglio con simulazione per fondo Fonte</t>
  </si>
  <si>
    <t>FPN_COMETA: folgio con simulazione per fondo Cometa</t>
  </si>
  <si>
    <t xml:space="preserve">Il presente file è stato realizzato solo per utilizzo dimostrativo. L'autore non si assume nessuna responsabilità in merito alla correttezza dei calcoli e/o al loro aggiornamento </t>
  </si>
  <si>
    <t xml:space="preserve">TFR: fogilo per calcolo rivalutazione TFR e calcolo montante </t>
  </si>
  <si>
    <t>TFR_VS_FPN:foglio per conforntare i rendimenti del TFR maturato in azienda Vs un generico Fondo Negoziale</t>
  </si>
  <si>
    <t>FPA_VS_ETF:foglio per confrontare i rendimenti di un generico Fondo Pensione con un ETF</t>
  </si>
  <si>
    <t>ETF_VS_ETF: foglio genreico per confrontare due ETF con versamenti in pac costanti</t>
  </si>
  <si>
    <t xml:space="preserve">Rendite:foglio per conforntare due rendite </t>
  </si>
  <si>
    <t>Quota Aderente (min1% Imp.TFR)</t>
  </si>
  <si>
    <t>Quota Datoriale (1% Imp. TFR)</t>
  </si>
  <si>
    <t>Rendimento Netto</t>
  </si>
  <si>
    <t>Tasso Tecnico</t>
  </si>
  <si>
    <t xml:space="preserve">S.V. Maschio </t>
  </si>
  <si>
    <t>S.V. Femmina</t>
  </si>
  <si>
    <t>S.V. Maschio</t>
  </si>
  <si>
    <t>Rendimento</t>
  </si>
  <si>
    <t>Costo azienda (stimato)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</si>
</sst>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0.000%"/>
    <numFmt numFmtId="165" formatCode="0.0%"/>
    <numFmt numFmtId="166" formatCode="_-* #,##0\ &quot;€&quot;_-;\-* #,##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B050"/>
      <name val="Arial"/>
      <family val="2"/>
    </font>
    <font>
      <b/>
      <sz val="14"/>
      <color rgb="FFFF9900"/>
      <name val="Arial"/>
      <family val="2"/>
    </font>
    <font>
      <b/>
      <i/>
      <sz val="14"/>
      <color rgb="FFFF9900"/>
      <name val="Arial"/>
      <family val="2"/>
    </font>
    <font>
      <i/>
      <sz val="14"/>
      <color theme="1"/>
      <name val="Arial"/>
      <family val="2"/>
    </font>
    <font>
      <b/>
      <sz val="14"/>
      <color theme="0"/>
      <name val="Arial"/>
      <family val="2"/>
    </font>
    <font>
      <b/>
      <sz val="14"/>
      <color rgb="FF7030A0"/>
      <name val="Arial"/>
      <family val="2"/>
    </font>
    <font>
      <b/>
      <sz val="14"/>
      <color rgb="FF333333"/>
      <name val="Arial"/>
      <family val="2"/>
    </font>
    <font>
      <sz val="18"/>
      <color rgb="FF333333"/>
      <name val="Arial"/>
      <family val="2"/>
    </font>
    <font>
      <sz val="18"/>
      <color theme="1"/>
      <name val="Calibri"/>
      <family val="2"/>
      <scheme val="minor"/>
    </font>
    <font>
      <sz val="18"/>
      <color theme="1"/>
      <name val="Arial"/>
      <family val="2"/>
    </font>
    <font>
      <sz val="2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B050"/>
      <name val="Arial"/>
      <family val="2"/>
    </font>
    <font>
      <b/>
      <sz val="12"/>
      <color theme="0"/>
      <name val="Arial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DDDDDD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164" fontId="3" fillId="0" borderId="0" xfId="2" applyNumberFormat="1" applyFont="1"/>
    <xf numFmtId="9" fontId="2" fillId="0" borderId="0" xfId="2" applyFont="1"/>
    <xf numFmtId="10" fontId="2" fillId="0" borderId="0" xfId="2" applyNumberFormat="1" applyFont="1"/>
    <xf numFmtId="0" fontId="4" fillId="0" borderId="0" xfId="0" applyFont="1"/>
    <xf numFmtId="44" fontId="4" fillId="0" borderId="0" xfId="1" applyFont="1"/>
    <xf numFmtId="0" fontId="5" fillId="0" borderId="0" xfId="0" applyFont="1"/>
    <xf numFmtId="44" fontId="5" fillId="0" borderId="0" xfId="1" applyFont="1" applyFill="1"/>
    <xf numFmtId="44" fontId="2" fillId="0" borderId="0" xfId="1" applyFont="1"/>
    <xf numFmtId="44" fontId="2" fillId="0" borderId="0" xfId="0" applyNumberFormat="1" applyFont="1"/>
    <xf numFmtId="44" fontId="6" fillId="0" borderId="0" xfId="0" applyNumberFormat="1" applyFont="1"/>
    <xf numFmtId="44" fontId="7" fillId="0" borderId="0" xfId="0" applyNumberFormat="1" applyFont="1"/>
    <xf numFmtId="0" fontId="8" fillId="2" borderId="1" xfId="0" applyFont="1" applyFill="1" applyBorder="1"/>
    <xf numFmtId="44" fontId="8" fillId="2" borderId="2" xfId="1" applyFont="1" applyFill="1" applyBorder="1"/>
    <xf numFmtId="0" fontId="9" fillId="0" borderId="0" xfId="0" applyFont="1"/>
    <xf numFmtId="44" fontId="9" fillId="0" borderId="0" xfId="0" applyNumberFormat="1" applyFont="1"/>
    <xf numFmtId="44" fontId="2" fillId="0" borderId="3" xfId="0" applyNumberFormat="1" applyFont="1" applyBorder="1"/>
    <xf numFmtId="0" fontId="2" fillId="0" borderId="4" xfId="0" applyFont="1" applyBorder="1"/>
    <xf numFmtId="44" fontId="2" fillId="0" borderId="4" xfId="0" applyNumberFormat="1" applyFont="1" applyBorder="1"/>
    <xf numFmtId="44" fontId="2" fillId="0" borderId="5" xfId="0" applyNumberFormat="1" applyFont="1" applyBorder="1"/>
    <xf numFmtId="0" fontId="2" fillId="0" borderId="0" xfId="0" quotePrefix="1" applyFont="1"/>
    <xf numFmtId="0" fontId="3" fillId="0" borderId="0" xfId="0" applyFont="1"/>
    <xf numFmtId="44" fontId="3" fillId="0" borderId="0" xfId="0" applyNumberFormat="1" applyFont="1"/>
    <xf numFmtId="164" fontId="3" fillId="0" borderId="0" xfId="2" applyNumberFormat="1" applyFont="1" applyAlignment="1">
      <alignment horizontal="center"/>
    </xf>
    <xf numFmtId="44" fontId="9" fillId="0" borderId="3" xfId="0" applyNumberFormat="1" applyFont="1" applyBorder="1"/>
    <xf numFmtId="0" fontId="2" fillId="0" borderId="1" xfId="0" applyFont="1" applyBorder="1"/>
    <xf numFmtId="44" fontId="2" fillId="0" borderId="2" xfId="0" applyNumberFormat="1" applyFont="1" applyBorder="1"/>
    <xf numFmtId="0" fontId="2" fillId="0" borderId="5" xfId="0" applyFont="1" applyBorder="1"/>
    <xf numFmtId="44" fontId="2" fillId="0" borderId="6" xfId="0" applyNumberFormat="1" applyFont="1" applyBorder="1"/>
    <xf numFmtId="0" fontId="8" fillId="3" borderId="0" xfId="0" applyFont="1" applyFill="1"/>
    <xf numFmtId="44" fontId="8" fillId="3" borderId="0" xfId="0" applyNumberFormat="1" applyFont="1" applyFill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9" fontId="2" fillId="0" borderId="0" xfId="2" applyFont="1" applyBorder="1"/>
    <xf numFmtId="10" fontId="2" fillId="0" borderId="11" xfId="2" applyNumberFormat="1" applyFont="1" applyBorder="1"/>
    <xf numFmtId="0" fontId="2" fillId="0" borderId="12" xfId="0" applyFont="1" applyBorder="1"/>
    <xf numFmtId="0" fontId="2" fillId="0" borderId="13" xfId="0" applyFont="1" applyBorder="1"/>
    <xf numFmtId="9" fontId="2" fillId="0" borderId="13" xfId="2" applyFont="1" applyBorder="1"/>
    <xf numFmtId="10" fontId="2" fillId="0" borderId="14" xfId="2" applyNumberFormat="1" applyFont="1" applyBorder="1"/>
    <xf numFmtId="10" fontId="2" fillId="0" borderId="0" xfId="2" applyNumberFormat="1" applyFont="1" applyBorder="1"/>
    <xf numFmtId="0" fontId="2" fillId="0" borderId="11" xfId="0" applyFont="1" applyBorder="1"/>
    <xf numFmtId="10" fontId="2" fillId="0" borderId="13" xfId="2" applyNumberFormat="1" applyFont="1" applyBorder="1"/>
    <xf numFmtId="0" fontId="2" fillId="0" borderId="14" xfId="0" applyFont="1" applyBorder="1"/>
    <xf numFmtId="0" fontId="2" fillId="0" borderId="13" xfId="0" quotePrefix="1" applyFont="1" applyBorder="1"/>
    <xf numFmtId="10" fontId="3" fillId="0" borderId="0" xfId="2" applyNumberFormat="1" applyFont="1"/>
    <xf numFmtId="44" fontId="3" fillId="4" borderId="0" xfId="1" applyFont="1" applyFill="1"/>
    <xf numFmtId="0" fontId="10" fillId="6" borderId="0" xfId="0" applyFont="1" applyFill="1" applyAlignment="1">
      <alignment vertical="top" wrapText="1"/>
    </xf>
    <xf numFmtId="0" fontId="10" fillId="6" borderId="15" xfId="0" applyFont="1" applyFill="1" applyBorder="1" applyAlignment="1">
      <alignment vertical="top"/>
    </xf>
    <xf numFmtId="0" fontId="10" fillId="6" borderId="0" xfId="0" applyFont="1" applyFill="1" applyAlignment="1">
      <alignment vertical="top"/>
    </xf>
    <xf numFmtId="0" fontId="11" fillId="5" borderId="15" xfId="0" applyFont="1" applyFill="1" applyBorder="1" applyAlignment="1">
      <alignment vertical="top" wrapText="1"/>
    </xf>
    <xf numFmtId="0" fontId="11" fillId="7" borderId="15" xfId="0" applyFont="1" applyFill="1" applyBorder="1" applyAlignment="1">
      <alignment vertical="top" wrapText="1"/>
    </xf>
    <xf numFmtId="0" fontId="12" fillId="0" borderId="0" xfId="0" applyFont="1"/>
    <xf numFmtId="9" fontId="11" fillId="5" borderId="0" xfId="2" applyFont="1" applyFill="1" applyBorder="1" applyAlignment="1">
      <alignment vertical="top" wrapText="1"/>
    </xf>
    <xf numFmtId="9" fontId="12" fillId="0" borderId="0" xfId="2" applyFont="1"/>
    <xf numFmtId="44" fontId="11" fillId="6" borderId="15" xfId="1" applyFont="1" applyFill="1" applyBorder="1" applyAlignment="1">
      <alignment vertical="top" wrapText="1"/>
    </xf>
    <xf numFmtId="0" fontId="11" fillId="6" borderId="15" xfId="0" applyFont="1" applyFill="1" applyBorder="1" applyAlignment="1">
      <alignment vertical="top" wrapText="1"/>
    </xf>
    <xf numFmtId="10" fontId="13" fillId="0" borderId="0" xfId="2" applyNumberFormat="1" applyFont="1"/>
    <xf numFmtId="0" fontId="14" fillId="0" borderId="0" xfId="0" applyFont="1"/>
    <xf numFmtId="44" fontId="14" fillId="0" borderId="0" xfId="0" applyNumberFormat="1" applyFont="1"/>
    <xf numFmtId="44" fontId="3" fillId="0" borderId="0" xfId="1" applyFont="1" applyFill="1"/>
    <xf numFmtId="0" fontId="15" fillId="0" borderId="0" xfId="0" applyFont="1" applyAlignment="1">
      <alignment wrapText="1"/>
    </xf>
    <xf numFmtId="1" fontId="4" fillId="0" borderId="0" xfId="1" applyNumberFormat="1" applyFont="1"/>
    <xf numFmtId="0" fontId="16" fillId="0" borderId="0" xfId="0" applyFont="1"/>
    <xf numFmtId="49" fontId="15" fillId="0" borderId="0" xfId="0" applyNumberFormat="1" applyFont="1" applyAlignment="1">
      <alignment wrapText="1" shrinkToFit="1"/>
    </xf>
    <xf numFmtId="44" fontId="15" fillId="0" borderId="0" xfId="1" applyFont="1" applyAlignment="1">
      <alignment horizontal="right" wrapText="1" shrinkToFit="1"/>
    </xf>
    <xf numFmtId="10" fontId="3" fillId="0" borderId="0" xfId="2" applyNumberFormat="1" applyFont="1" applyAlignment="1">
      <alignment horizontal="center"/>
    </xf>
    <xf numFmtId="10" fontId="2" fillId="0" borderId="0" xfId="1" applyNumberFormat="1" applyFont="1"/>
    <xf numFmtId="10" fontId="7" fillId="0" borderId="0" xfId="0" applyNumberFormat="1" applyFont="1"/>
    <xf numFmtId="10" fontId="2" fillId="0" borderId="0" xfId="0" applyNumberFormat="1" applyFont="1"/>
    <xf numFmtId="1" fontId="2" fillId="0" borderId="0" xfId="0" applyNumberFormat="1" applyFont="1"/>
    <xf numFmtId="10" fontId="15" fillId="0" borderId="0" xfId="2" applyNumberFormat="1" applyFont="1" applyAlignment="1">
      <alignment horizontal="right" wrapText="1" shrinkToFit="1"/>
    </xf>
    <xf numFmtId="165" fontId="2" fillId="0" borderId="0" xfId="2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44" fontId="2" fillId="4" borderId="0" xfId="0" applyNumberFormat="1" applyFont="1" applyFill="1"/>
    <xf numFmtId="10" fontId="2" fillId="4" borderId="0" xfId="2" applyNumberFormat="1" applyFont="1" applyFill="1"/>
    <xf numFmtId="44" fontId="0" fillId="0" borderId="0" xfId="0" applyNumberFormat="1"/>
    <xf numFmtId="0" fontId="17" fillId="2" borderId="1" xfId="0" applyFont="1" applyFill="1" applyBorder="1"/>
    <xf numFmtId="10" fontId="2" fillId="8" borderId="0" xfId="2" applyNumberFormat="1" applyFont="1" applyFill="1"/>
    <xf numFmtId="166" fontId="9" fillId="0" borderId="0" xfId="0" applyNumberFormat="1" applyFont="1"/>
    <xf numFmtId="1" fontId="3" fillId="4" borderId="16" xfId="1" applyNumberFormat="1" applyFont="1" applyFill="1" applyBorder="1"/>
    <xf numFmtId="10" fontId="3" fillId="4" borderId="16" xfId="2" applyNumberFormat="1" applyFont="1" applyFill="1" applyBorder="1"/>
    <xf numFmtId="44" fontId="3" fillId="4" borderId="16" xfId="1" applyFont="1" applyFill="1" applyBorder="1"/>
    <xf numFmtId="44" fontId="0" fillId="4" borderId="0" xfId="1" applyFont="1" applyFill="1"/>
    <xf numFmtId="10" fontId="0" fillId="4" borderId="0" xfId="2" applyNumberFormat="1" applyFont="1" applyFill="1"/>
    <xf numFmtId="0" fontId="0" fillId="4" borderId="0" xfId="0" applyFill="1"/>
    <xf numFmtId="10" fontId="14" fillId="0" borderId="0" xfId="2" applyNumberFormat="1" applyFont="1"/>
    <xf numFmtId="164" fontId="2" fillId="0" borderId="0" xfId="2" applyNumberFormat="1" applyFont="1"/>
    <xf numFmtId="10" fontId="0" fillId="0" borderId="0" xfId="2" applyNumberFormat="1" applyFont="1"/>
    <xf numFmtId="164" fontId="0" fillId="4" borderId="0" xfId="2" applyNumberFormat="1" applyFont="1" applyFill="1"/>
    <xf numFmtId="166" fontId="0" fillId="0" borderId="0" xfId="0" applyNumberFormat="1"/>
  </cellXfs>
  <cellStyles count="3">
    <cellStyle name="Normale" xfId="0" builtinId="0"/>
    <cellStyle name="Percentuale" xfId="2" builtinId="5"/>
    <cellStyle name="Valuta" xfId="1" builtinId="4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FPNvsTFR az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2092529997025805"/>
          <c:y val="7.7854743912678423E-2"/>
          <c:w val="0.76027041284851804"/>
          <c:h val="0.81677525668233542"/>
        </c:manualLayout>
      </c:layout>
      <c:lineChart>
        <c:grouping val="standard"/>
        <c:varyColors val="0"/>
        <c:ser>
          <c:idx val="0"/>
          <c:order val="0"/>
          <c:tx>
            <c:strRef>
              <c:f>TFR_VS_FPN!$J$3</c:f>
              <c:strCache>
                <c:ptCount val="1"/>
                <c:pt idx="0">
                  <c:v>Saldo FPN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TFR_VS_FPN!$F$3:$F$48</c:f>
              <c:strCache>
                <c:ptCount val="46"/>
                <c:pt idx="0">
                  <c:v>Anni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</c:strCache>
            </c:strRef>
          </c:cat>
          <c:val>
            <c:numRef>
              <c:f>TFR_VS_FPN!$J$4:$J$48</c:f>
              <c:numCache>
                <c:formatCode>_("€"* #,##0.00_);_("€"* \(#,##0.00\);_("€"* "-"??_);_(@_)</c:formatCode>
                <c:ptCount val="45"/>
                <c:pt idx="0">
                  <c:v>2348.38</c:v>
                </c:pt>
                <c:pt idx="1">
                  <c:v>4801.7464</c:v>
                </c:pt>
                <c:pt idx="2">
                  <c:v>7364.0886831999997</c:v>
                </c:pt>
                <c:pt idx="3">
                  <c:v>10039.547933161601</c:v>
                </c:pt>
                <c:pt idx="4">
                  <c:v>12832.422594621741</c:v>
                </c:pt>
                <c:pt idx="5">
                  <c:v>15747.174453217369</c:v>
                </c:pt>
                <c:pt idx="6">
                  <c:v>18788.43484243963</c:v>
                </c:pt>
                <c:pt idx="7">
                  <c:v>21961.011086452334</c:v>
                </c:pt>
                <c:pt idx="8">
                  <c:v>25269.893187737525</c:v>
                </c:pt>
                <c:pt idx="9">
                  <c:v>28720.260768871547</c:v>
                </c:pt>
                <c:pt idx="10">
                  <c:v>32317.490278088673</c:v>
                </c:pt>
                <c:pt idx="11">
                  <c:v>36067.162468656046</c:v>
                </c:pt>
                <c:pt idx="12">
                  <c:v>39975.070162464981</c:v>
                </c:pt>
                <c:pt idx="13">
                  <c:v>44047.226308638652</c:v>
                </c:pt>
                <c:pt idx="14">
                  <c:v>48289.872348366916</c:v>
                </c:pt>
                <c:pt idx="15">
                  <c:v>52842.101297604859</c:v>
                </c:pt>
                <c:pt idx="16">
                  <c:v>57594.600359713848</c:v>
                </c:pt>
                <c:pt idx="17">
                  <c:v>62554.349880582966</c:v>
                </c:pt>
                <c:pt idx="18">
                  <c:v>67728.595459245116</c:v>
                </c:pt>
                <c:pt idx="19">
                  <c:v>73124.858027496433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7-4213-9F9B-00598E447393}"/>
            </c:ext>
          </c:extLst>
        </c:ser>
        <c:ser>
          <c:idx val="1"/>
          <c:order val="1"/>
          <c:tx>
            <c:strRef>
              <c:f>TFR_VS_FPN!$H$3</c:f>
              <c:strCache>
                <c:ptCount val="1"/>
                <c:pt idx="0">
                  <c:v>Saldo TFR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TFR_VS_FPN!$F$3:$F$48</c:f>
              <c:strCache>
                <c:ptCount val="46"/>
                <c:pt idx="0">
                  <c:v>Anni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</c:strCache>
            </c:strRef>
          </c:cat>
          <c:val>
            <c:numRef>
              <c:f>TFR_VS_FPN!$H$4:$H$48</c:f>
              <c:numCache>
                <c:formatCode>_("€"* #,##0.00_);_("€"* \(#,##0.00\);_("€"* "-"??_);_(@_)</c:formatCode>
                <c:ptCount val="45"/>
                <c:pt idx="0">
                  <c:v>2031.6057064199981</c:v>
                </c:pt>
                <c:pt idx="1">
                  <c:v>4137.1646618399964</c:v>
                </c:pt>
                <c:pt idx="2">
                  <c:v>6318.6564098526014</c:v>
                </c:pt>
                <c:pt idx="3">
                  <c:v>8578.1134814835386</c:v>
                </c:pt>
                <c:pt idx="4">
                  <c:v>10917.622813532758</c:v>
                </c:pt>
                <c:pt idx="5">
                  <c:v>13339.32720488101</c:v>
                </c:pt>
                <c:pt idx="6">
                  <c:v>15845.426811778074</c:v>
                </c:pt>
                <c:pt idx="7">
                  <c:v>18438.180683156163</c:v>
                </c:pt>
                <c:pt idx="8">
                  <c:v>21119.908337039764</c:v>
                </c:pt>
                <c:pt idx="9">
                  <c:v>23892.991379152096</c:v>
                </c:pt>
                <c:pt idx="10">
                  <c:v>26759.875164847574</c:v>
                </c:pt>
                <c:pt idx="11">
                  <c:v>29723.070505530057</c:v>
                </c:pt>
                <c:pt idx="12">
                  <c:v>32785.155420747666</c:v>
                </c:pt>
                <c:pt idx="13">
                  <c:v>35948.776937186762</c:v>
                </c:pt>
                <c:pt idx="14">
                  <c:v>39216.652935820552</c:v>
                </c:pt>
                <c:pt idx="15">
                  <c:v>42591.57404850117</c:v>
                </c:pt>
                <c:pt idx="16">
                  <c:v>46076.405605318869</c:v>
                </c:pt>
                <c:pt idx="17">
                  <c:v>49674.08963408709</c:v>
                </c:pt>
                <c:pt idx="18">
                  <c:v>53387.646913348763</c:v>
                </c:pt>
                <c:pt idx="19">
                  <c:v>57220.179080336486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37-4213-9F9B-00598E447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2675119"/>
        <c:axId val="1975503935"/>
      </c:lineChart>
      <c:catAx>
        <c:axId val="1972675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75503935"/>
        <c:crosses val="autoZero"/>
        <c:auto val="1"/>
        <c:lblAlgn val="ctr"/>
        <c:lblOffset val="100"/>
        <c:noMultiLvlLbl val="0"/>
      </c:catAx>
      <c:valAx>
        <c:axId val="1975503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Montane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726751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FPAvsETF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2092529997025805"/>
          <c:y val="7.7854743912678423E-2"/>
          <c:w val="0.76027041284851804"/>
          <c:h val="0.81677525668233542"/>
        </c:manualLayout>
      </c:layout>
      <c:lineChart>
        <c:grouping val="standard"/>
        <c:varyColors val="0"/>
        <c:ser>
          <c:idx val="0"/>
          <c:order val="0"/>
          <c:tx>
            <c:strRef>
              <c:f>FPA_VS_ETF!$J$3</c:f>
              <c:strCache>
                <c:ptCount val="1"/>
                <c:pt idx="0">
                  <c:v>Montante netto FPA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TFR_VS_FPN!$F$3:$F$48</c:f>
              <c:strCache>
                <c:ptCount val="46"/>
                <c:pt idx="0">
                  <c:v>Anni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</c:strCache>
            </c:strRef>
          </c:cat>
          <c:val>
            <c:numRef>
              <c:f>FPA_VS_ETF!$J$4:$J$48</c:f>
              <c:numCache>
                <c:formatCode>_("€"* #,##0.00_);_("€"* \(#,##0.00\);_("€"* "-"??_);_(@_)</c:formatCode>
                <c:ptCount val="45"/>
                <c:pt idx="0">
                  <c:v>4390.25</c:v>
                </c:pt>
                <c:pt idx="1">
                  <c:v>8961.2749999999996</c:v>
                </c:pt>
                <c:pt idx="2">
                  <c:v>13719.402125000001</c:v>
                </c:pt>
                <c:pt idx="3">
                  <c:v>18671.179949375</c:v>
                </c:pt>
                <c:pt idx="4">
                  <c:v>23823.386247603125</c:v>
                </c:pt>
                <c:pt idx="5">
                  <c:v>29183.03601626923</c:v>
                </c:pt>
                <c:pt idx="6">
                  <c:v>34757.389776838652</c:v>
                </c:pt>
                <c:pt idx="7">
                  <c:v>40553.962169028004</c:v>
                </c:pt>
                <c:pt idx="8">
                  <c:v>46580.530844943984</c:v>
                </c:pt>
                <c:pt idx="9">
                  <c:v>52845.145674517022</c:v>
                </c:pt>
                <c:pt idx="10">
                  <c:v>59356.138273125121</c:v>
                </c:pt>
                <c:pt idx="11">
                  <c:v>66122.131862684502</c:v>
                </c:pt>
                <c:pt idx="12">
                  <c:v>73152.051477878456</c:v>
                </c:pt>
                <c:pt idx="13">
                  <c:v>80455.134529604198</c:v>
                </c:pt>
                <c:pt idx="14">
                  <c:v>88040.941738140347</c:v>
                </c:pt>
                <c:pt idx="15">
                  <c:v>96167.288448975261</c:v>
                </c:pt>
                <c:pt idx="16">
                  <c:v>104627.4863446894</c:v>
                </c:pt>
                <c:pt idx="17">
                  <c:v>113432.13556675352</c:v>
                </c:pt>
                <c:pt idx="18">
                  <c:v>122592.20726158991</c:v>
                </c:pt>
                <c:pt idx="19">
                  <c:v>132119.05656574556</c:v>
                </c:pt>
                <c:pt idx="20">
                  <c:v>142024.43604554664</c:v>
                </c:pt>
                <c:pt idx="21">
                  <c:v>152320.50960714079</c:v>
                </c:pt>
                <c:pt idx="22">
                  <c:v>163019.86689339069</c:v>
                </c:pt>
                <c:pt idx="23">
                  <c:v>174135.53818465938</c:v>
                </c:pt>
                <c:pt idx="24">
                  <c:v>185681.00982112245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D3-46D8-8A34-F2198A4E2F19}"/>
            </c:ext>
          </c:extLst>
        </c:ser>
        <c:ser>
          <c:idx val="1"/>
          <c:order val="1"/>
          <c:tx>
            <c:strRef>
              <c:f>FPA_VS_ETF!$H$3</c:f>
              <c:strCache>
                <c:ptCount val="1"/>
                <c:pt idx="0">
                  <c:v>Montante netto ETF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TFR_VS_FPN!$F$3:$F$48</c:f>
              <c:strCache>
                <c:ptCount val="46"/>
                <c:pt idx="0">
                  <c:v>Anni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</c:strCache>
            </c:strRef>
          </c:cat>
          <c:val>
            <c:numRef>
              <c:f>FPA_VS_ETF!$H$4:$H$48</c:f>
              <c:numCache>
                <c:formatCode>_("€"* #,##0.00_);_("€"* \(#,##0.00\);_("€"* "-"??_);_(@_)</c:formatCode>
                <c:ptCount val="45"/>
                <c:pt idx="0">
                  <c:v>3367.1761000000006</c:v>
                </c:pt>
                <c:pt idx="1">
                  <c:v>6908.771921980001</c:v>
                </c:pt>
                <c:pt idx="2">
                  <c:v>10636.996846478602</c:v>
                </c:pt>
                <c:pt idx="3">
                  <c:v>14564.914910672105</c:v>
                </c:pt>
                <c:pt idx="4">
                  <c:v>18706.504634339151</c:v>
                </c:pt>
                <c:pt idx="5">
                  <c:v>23076.723033642891</c:v>
                </c:pt>
                <c:pt idx="6">
                  <c:v>27691.574115877895</c:v>
                </c:pt>
                <c:pt idx="7">
                  <c:v>32568.182168849347</c:v>
                </c:pt>
                <c:pt idx="8">
                  <c:v>37724.870180508806</c:v>
                </c:pt>
                <c:pt idx="9">
                  <c:v>43181.243747964421</c:v>
                </c:pt>
                <c:pt idx="10">
                  <c:v>48958.280860121929</c:v>
                </c:pt>
                <c:pt idx="11">
                  <c:v>55078.427965110459</c:v>
                </c:pt>
                <c:pt idx="12">
                  <c:v>61565.702762428191</c:v>
                </c:pt>
                <c:pt idx="13">
                  <c:v>68445.804190538169</c:v>
                </c:pt>
                <c:pt idx="14">
                  <c:v>75746.230113595826</c:v>
                </c:pt>
                <c:pt idx="15">
                  <c:v>83496.40324624753</c:v>
                </c:pt>
                <c:pt idx="16">
                  <c:v>91727.805893164856</c:v>
                </c:pt>
                <c:pt idx="17">
                  <c:v>100474.1241203464</c:v>
                </c:pt>
                <c:pt idx="18">
                  <c:v>109771.40201841065</c:v>
                </c:pt>
                <c:pt idx="19">
                  <c:v>119658.20676431939</c:v>
                </c:pt>
                <c:pt idx="20">
                  <c:v>130175.80523742175</c:v>
                </c:pt>
                <c:pt idx="21">
                  <c:v>141368.35299862127</c:v>
                </c:pt>
                <c:pt idx="22">
                  <c:v>153283.09649808478</c:v>
                </c:pt>
                <c:pt idx="23">
                  <c:v>165970.58943749074</c:v>
                </c:pt>
                <c:pt idx="24">
                  <c:v>179484.92427763509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D3-46D8-8A34-F2198A4E2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2675119"/>
        <c:axId val="1975503935"/>
      </c:lineChart>
      <c:catAx>
        <c:axId val="1972675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75503935"/>
        <c:crosses val="autoZero"/>
        <c:auto val="1"/>
        <c:lblAlgn val="ctr"/>
        <c:lblOffset val="100"/>
        <c:noMultiLvlLbl val="0"/>
      </c:catAx>
      <c:valAx>
        <c:axId val="1975503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Montane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726751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ETFVsETF!$H$3</c:f>
              <c:strCache>
                <c:ptCount val="1"/>
                <c:pt idx="0">
                  <c:v>Montante netto ETF 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ETFVsETF!$H$4:$H$68</c:f>
              <c:numCache>
                <c:formatCode>_("€"* #,##0.00_);_("€"* \(#,##0.00\);_("€"* "-"??_);_(@_)</c:formatCode>
                <c:ptCount val="65"/>
                <c:pt idx="0">
                  <c:v>1500</c:v>
                </c:pt>
                <c:pt idx="1">
                  <c:v>3077.7</c:v>
                </c:pt>
                <c:pt idx="2">
                  <c:v>4738.5390000000007</c:v>
                </c:pt>
                <c:pt idx="3">
                  <c:v>6488.3367300000009</c:v>
                </c:pt>
                <c:pt idx="4">
                  <c:v>8333.3203011000005</c:v>
                </c:pt>
                <c:pt idx="5">
                  <c:v>10280.152722177001</c:v>
                </c:pt>
                <c:pt idx="6">
                  <c:v>12335.96341272939</c:v>
                </c:pt>
                <c:pt idx="7">
                  <c:v>14508.380851620446</c:v>
                </c:pt>
                <c:pt idx="8">
                  <c:v>16805.567511233879</c:v>
                </c:pt>
                <c:pt idx="9">
                  <c:v>19236.257237020251</c:v>
                </c:pt>
                <c:pt idx="10">
                  <c:v>21809.795243611668</c:v>
                </c:pt>
                <c:pt idx="11">
                  <c:v>24536.180910664483</c:v>
                </c:pt>
                <c:pt idx="12">
                  <c:v>27426.113574411</c:v>
                </c:pt>
                <c:pt idx="13">
                  <c:v>30491.04152461977</c:v>
                </c:pt>
                <c:pt idx="14">
                  <c:v>33743.214431343149</c:v>
                </c:pt>
                <c:pt idx="15">
                  <c:v>37195.739441537175</c:v>
                </c:pt>
                <c:pt idx="16">
                  <c:v>40862.641202444771</c:v>
                </c:pt>
                <c:pt idx="17">
                  <c:v>44758.926086615909</c:v>
                </c:pt>
                <c:pt idx="18">
                  <c:v>47790.650912679026</c:v>
                </c:pt>
                <c:pt idx="19">
                  <c:v>51007.296476566553</c:v>
                </c:pt>
                <c:pt idx="20">
                  <c:v>54421.807229926213</c:v>
                </c:pt>
                <c:pt idx="21">
                  <c:v>58048.033736021047</c:v>
                </c:pt>
                <c:pt idx="22">
                  <c:v>61900.79609754253</c:v>
                </c:pt>
                <c:pt idx="23">
                  <c:v>65995.951824370495</c:v>
                </c:pt>
                <c:pt idx="24">
                  <c:v>70350.468452076428</c:v>
                </c:pt>
                <c:pt idx="25">
                  <c:v>74982.501243721781</c:v>
                </c:pt>
                <c:pt idx="26">
                  <c:v>79911.476330782316</c:v>
                </c:pt>
                <c:pt idx="27">
                  <c:v>85158.179673937077</c:v>
                </c:pt>
                <c:pt idx="28">
                  <c:v>90744.852251112679</c:v>
                </c:pt>
                <c:pt idx="29">
                  <c:v>96695.29190869056</c:v>
                </c:pt>
                <c:pt idx="30">
                  <c:v>103034.9623422989</c:v>
                </c:pt>
                <c:pt idx="31">
                  <c:v>109791.10970625983</c:v>
                </c:pt>
                <c:pt idx="32">
                  <c:v>116992.88738569801</c:v>
                </c:pt>
                <c:pt idx="33">
                  <c:v>124671.48950269687</c:v>
                </c:pt>
                <c:pt idx="34">
                  <c:v>132860.29376788565</c:v>
                </c:pt>
                <c:pt idx="35">
                  <c:v>141595.01433163765</c:v>
                </c:pt>
                <c:pt idx="36">
                  <c:v>150913.86533485231</c:v>
                </c:pt>
                <c:pt idx="37">
                  <c:v>160857.73590829194</c:v>
                </c:pt>
                <c:pt idx="38">
                  <c:v>171470.3774218724</c:v>
                </c:pt>
                <c:pt idx="39">
                  <c:v>182798.60384140344</c:v>
                </c:pt>
                <c:pt idx="40">
                  <c:v>194892.50611030171</c:v>
                </c:pt>
                <c:pt idx="41">
                  <c:v>207805.68153802282</c:v>
                </c:pt>
                <c:pt idx="42">
                  <c:v>221595.4792456844</c:v>
                </c:pt>
                <c:pt idx="43">
                  <c:v>236323.26279288233</c:v>
                </c:pt>
                <c:pt idx="44">
                  <c:v>252054.69118838411</c:v>
                </c:pt>
                <c:pt idx="45">
                  <c:v>268860.01957157097</c:v>
                </c:pt>
                <c:pt idx="46">
                  <c:v>286814.4209415809</c:v>
                </c:pt>
                <c:pt idx="47">
                  <c:v>305998.33040749159</c:v>
                </c:pt>
                <c:pt idx="48">
                  <c:v>326497.8135360161</c:v>
                </c:pt>
                <c:pt idx="49">
                  <c:v>348404.96048353717</c:v>
                </c:pt>
                <c:pt idx="50">
                  <c:v>371818.30771738477</c:v>
                </c:pt>
                <c:pt idx="51">
                  <c:v>396843.28925760166</c:v>
                </c:pt>
                <c:pt idx="52">
                  <c:v>423592.71950563381</c:v>
                </c:pt>
                <c:pt idx="53">
                  <c:v>452187.30987102818</c:v>
                </c:pt>
                <c:pt idx="54">
                  <c:v>482756.22156200022</c:v>
                </c:pt>
                <c:pt idx="55">
                  <c:v>515437.65707134025</c:v>
                </c:pt>
                <c:pt idx="56">
                  <c:v>550379.49306633393</c:v>
                </c:pt>
                <c:pt idx="57">
                  <c:v>587739.95758097735</c:v>
                </c:pt>
                <c:pt idx="58">
                  <c:v>627688.35461164592</c:v>
                </c:pt>
                <c:pt idx="59">
                  <c:v>670405.83943446097</c:v>
                </c:pt>
                <c:pt idx="60">
                  <c:v>716086.24819487333</c:v>
                </c:pt>
                <c:pt idx="61">
                  <c:v>764936.98556851433</c:v>
                </c:pt>
                <c:pt idx="62">
                  <c:v>817179.97455831035</c:v>
                </c:pt>
                <c:pt idx="63">
                  <c:v>873052.6727773922</c:v>
                </c:pt>
                <c:pt idx="64">
                  <c:v>932809.15987180965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DC-4B0F-84A9-689103ACDB7A}"/>
            </c:ext>
          </c:extLst>
        </c:ser>
        <c:ser>
          <c:idx val="4"/>
          <c:order val="4"/>
          <c:tx>
            <c:strRef>
              <c:f>ETFVsETF!$J$3</c:f>
              <c:strCache>
                <c:ptCount val="1"/>
                <c:pt idx="0">
                  <c:v>Montante netto ETF 2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ETFVsETF!$J$4:$J$68</c:f>
              <c:numCache>
                <c:formatCode>_("€"* #,##0.00_);_("€"* \(#,##0.00\);_("€"* "-"??_);_(@_)</c:formatCode>
                <c:ptCount val="65"/>
                <c:pt idx="0">
                  <c:v>1500</c:v>
                </c:pt>
                <c:pt idx="1">
                  <c:v>3077.7</c:v>
                </c:pt>
                <c:pt idx="2">
                  <c:v>4738.5390000000007</c:v>
                </c:pt>
                <c:pt idx="3">
                  <c:v>6488.3367300000009</c:v>
                </c:pt>
                <c:pt idx="4">
                  <c:v>8333.3203011000005</c:v>
                </c:pt>
                <c:pt idx="5">
                  <c:v>10280.152722177001</c:v>
                </c:pt>
                <c:pt idx="6">
                  <c:v>12335.96341272939</c:v>
                </c:pt>
                <c:pt idx="7">
                  <c:v>14508.380851620446</c:v>
                </c:pt>
                <c:pt idx="8">
                  <c:v>16805.567511233879</c:v>
                </c:pt>
                <c:pt idx="9">
                  <c:v>19236.257237020251</c:v>
                </c:pt>
                <c:pt idx="10">
                  <c:v>21809.795243611668</c:v>
                </c:pt>
                <c:pt idx="11">
                  <c:v>24536.180910664483</c:v>
                </c:pt>
                <c:pt idx="12">
                  <c:v>27426.113574411</c:v>
                </c:pt>
                <c:pt idx="13">
                  <c:v>30491.04152461977</c:v>
                </c:pt>
                <c:pt idx="14">
                  <c:v>33743.214431343149</c:v>
                </c:pt>
                <c:pt idx="15">
                  <c:v>37195.739441537175</c:v>
                </c:pt>
                <c:pt idx="16">
                  <c:v>40862.641202444771</c:v>
                </c:pt>
                <c:pt idx="17">
                  <c:v>44758.926086615909</c:v>
                </c:pt>
                <c:pt idx="18">
                  <c:v>48900.650912679019</c:v>
                </c:pt>
                <c:pt idx="19">
                  <c:v>53304.996476566557</c:v>
                </c:pt>
                <c:pt idx="20">
                  <c:v>57990.346229926217</c:v>
                </c:pt>
                <c:pt idx="21">
                  <c:v>62976.370466021057</c:v>
                </c:pt>
                <c:pt idx="22">
                  <c:v>68284.116398642524</c:v>
                </c:pt>
                <c:pt idx="23">
                  <c:v>73936.104546547504</c:v>
                </c:pt>
                <c:pt idx="24">
                  <c:v>79956.431864805825</c:v>
                </c:pt>
                <c:pt idx="25">
                  <c:v>86370.88209534224</c:v>
                </c:pt>
                <c:pt idx="26">
                  <c:v>93207.043842016195</c:v>
                </c:pt>
                <c:pt idx="27">
                  <c:v>100494.43691095733</c:v>
                </c:pt>
                <c:pt idx="28">
                  <c:v>108264.64749472434</c:v>
                </c:pt>
                <c:pt idx="29">
                  <c:v>116551.47281935505</c:v>
                </c:pt>
                <c:pt idx="30">
                  <c:v>125391.0759167099</c:v>
                </c:pt>
                <c:pt idx="31">
                  <c:v>134822.15123087959</c:v>
                </c:pt>
                <c:pt idx="32">
                  <c:v>144886.10181704117</c:v>
                </c:pt>
                <c:pt idx="33">
                  <c:v>155627.22894423406</c:v>
                </c:pt>
                <c:pt idx="34">
                  <c:v>167092.93497033045</c:v>
                </c:pt>
                <c:pt idx="35">
                  <c:v>179333.94041825359</c:v>
                </c:pt>
                <c:pt idx="36">
                  <c:v>192404.51624753134</c:v>
                </c:pt>
                <c:pt idx="37">
                  <c:v>206362.73238485854</c:v>
                </c:pt>
                <c:pt idx="38">
                  <c:v>221270.72365179862</c:v>
                </c:pt>
                <c:pt idx="39">
                  <c:v>237194.97430742451</c:v>
                </c:pt>
                <c:pt idx="40">
                  <c:v>254206.62250894425</c:v>
                </c:pt>
                <c:pt idx="41">
                  <c:v>272381.78608457028</c:v>
                </c:pt>
                <c:pt idx="42">
                  <c:v>291801.91111049021</c:v>
                </c:pt>
                <c:pt idx="43">
                  <c:v>312554.14488822455</c:v>
                </c:pt>
                <c:pt idx="44">
                  <c:v>334731.73503040028</c:v>
                </c:pt>
                <c:pt idx="45">
                  <c:v>358434.45648252824</c:v>
                </c:pt>
                <c:pt idx="46">
                  <c:v>383769.06843630527</c:v>
                </c:pt>
                <c:pt idx="47">
                  <c:v>410849.80322684662</c:v>
                </c:pt>
                <c:pt idx="48">
                  <c:v>439798.88945272588</c:v>
                </c:pt>
                <c:pt idx="49">
                  <c:v>470747.11171441665</c:v>
                </c:pt>
                <c:pt idx="50">
                  <c:v>503834.40953442582</c:v>
                </c:pt>
                <c:pt idx="51">
                  <c:v>539210.51820183569</c:v>
                </c:pt>
                <c:pt idx="52">
                  <c:v>577035.65447596414</c:v>
                </c:pt>
                <c:pt idx="53">
                  <c:v>617481.25028928171</c:v>
                </c:pt>
                <c:pt idx="54">
                  <c:v>660730.73780953139</c:v>
                </c:pt>
                <c:pt idx="55">
                  <c:v>706980.38945619855</c:v>
                </c:pt>
                <c:pt idx="56">
                  <c:v>756440.21671813249</c:v>
                </c:pt>
                <c:pt idx="57">
                  <c:v>809334.93188840174</c:v>
                </c:pt>
                <c:pt idx="58">
                  <c:v>865904.97712058981</c:v>
                </c:pt>
                <c:pt idx="59">
                  <c:v>926407.62551903119</c:v>
                </c:pt>
                <c:pt idx="60">
                  <c:v>991118.1593053632</c:v>
                </c:pt>
                <c:pt idx="61">
                  <c:v>1060331.1304567386</c:v>
                </c:pt>
                <c:pt idx="62">
                  <c:v>1134361.7095887102</c:v>
                </c:pt>
                <c:pt idx="63">
                  <c:v>1213547.12925992</c:v>
                </c:pt>
                <c:pt idx="64">
                  <c:v>1298248.2283081145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DC-4B0F-84A9-689103ACD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1029392"/>
        <c:axId val="665431231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ETFVsETF!$F$3</c15:sqref>
                        </c15:formulaRef>
                      </c:ext>
                    </c:extLst>
                    <c:strCache>
                      <c:ptCount val="1"/>
                      <c:pt idx="0">
                        <c:v>Anni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ETFVsETF!$F$4:$F$68</c15:sqref>
                        </c15:formulaRef>
                      </c:ext>
                    </c:extLst>
                    <c:numCache>
                      <c:formatCode>General</c:formatCode>
                      <c:ptCount val="65"/>
                      <c:pt idx="0" formatCode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  <c:pt idx="53">
                        <c:v>54</c:v>
                      </c:pt>
                      <c:pt idx="54">
                        <c:v>55</c:v>
                      </c:pt>
                      <c:pt idx="55">
                        <c:v>56</c:v>
                      </c:pt>
                      <c:pt idx="56">
                        <c:v>57</c:v>
                      </c:pt>
                      <c:pt idx="57">
                        <c:v>58</c:v>
                      </c:pt>
                      <c:pt idx="58">
                        <c:v>59</c:v>
                      </c:pt>
                      <c:pt idx="59">
                        <c:v>60</c:v>
                      </c:pt>
                      <c:pt idx="60">
                        <c:v>61</c:v>
                      </c:pt>
                      <c:pt idx="61">
                        <c:v>62</c:v>
                      </c:pt>
                      <c:pt idx="62">
                        <c:v>63</c:v>
                      </c:pt>
                      <c:pt idx="63">
                        <c:v>64</c:v>
                      </c:pt>
                      <c:pt idx="64">
                        <c:v>65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8DC-4B0F-84A9-689103ACDB7A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ETFVsETF!$G$3</c15:sqref>
                        </c15:formulaRef>
                      </c:ext>
                    </c:extLst>
                    <c:strCache>
                      <c:ptCount val="1"/>
                      <c:pt idx="0">
                        <c:v>Montante ETF 1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ETFVsETF!$G$4:$G$68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65"/>
                      <c:pt idx="0">
                        <c:v>1500</c:v>
                      </c:pt>
                      <c:pt idx="1">
                        <c:v>3105</c:v>
                      </c:pt>
                      <c:pt idx="2">
                        <c:v>4822.3500000000004</c:v>
                      </c:pt>
                      <c:pt idx="3">
                        <c:v>6659.9145000000008</c:v>
                      </c:pt>
                      <c:pt idx="4">
                        <c:v>8626.1085150000017</c:v>
                      </c:pt>
                      <c:pt idx="5">
                        <c:v>10729.936111050001</c:v>
                      </c:pt>
                      <c:pt idx="6">
                        <c:v>12981.031638823501</c:v>
                      </c:pt>
                      <c:pt idx="7">
                        <c:v>15389.703853541145</c:v>
                      </c:pt>
                      <c:pt idx="8">
                        <c:v>17966.983123289025</c:v>
                      </c:pt>
                      <c:pt idx="9">
                        <c:v>20724.671941919256</c:v>
                      </c:pt>
                      <c:pt idx="10">
                        <c:v>23675.398977853605</c:v>
                      </c:pt>
                      <c:pt idx="11">
                        <c:v>26832.676906303357</c:v>
                      </c:pt>
                      <c:pt idx="12">
                        <c:v>30210.964289744592</c:v>
                      </c:pt>
                      <c:pt idx="13">
                        <c:v>33825.731790026715</c:v>
                      </c:pt>
                      <c:pt idx="14">
                        <c:v>37693.533015328583</c:v>
                      </c:pt>
                      <c:pt idx="15">
                        <c:v>41832.080326401585</c:v>
                      </c:pt>
                      <c:pt idx="16">
                        <c:v>46260.325949249695</c:v>
                      </c:pt>
                      <c:pt idx="17">
                        <c:v>50998.548765697175</c:v>
                      </c:pt>
                      <c:pt idx="18">
                        <c:v>54568.447179295981</c:v>
                      </c:pt>
                      <c:pt idx="19">
                        <c:v>58388.238481846696</c:v>
                      </c:pt>
                      <c:pt idx="20">
                        <c:v>62475.415175575967</c:v>
                      </c:pt>
                      <c:pt idx="21">
                        <c:v>66848.694237866279</c:v>
                      </c:pt>
                      <c:pt idx="22">
                        <c:v>71528.102834516932</c:v>
                      </c:pt>
                      <c:pt idx="23">
                        <c:v>76535.070032933101</c:v>
                      </c:pt>
                      <c:pt idx="24">
                        <c:v>81892.524935238427</c:v>
                      </c:pt>
                      <c:pt idx="25">
                        <c:v>87625.001680705114</c:v>
                      </c:pt>
                      <c:pt idx="26">
                        <c:v>93758.751798354482</c:v>
                      </c:pt>
                      <c:pt idx="27">
                        <c:v>100321.86442423929</c:v>
                      </c:pt>
                      <c:pt idx="28">
                        <c:v>107344.39493393606</c:v>
                      </c:pt>
                      <c:pt idx="29">
                        <c:v>114858.50257931156</c:v>
                      </c:pt>
                      <c:pt idx="30">
                        <c:v>122898.59775986338</c:v>
                      </c:pt>
                      <c:pt idx="31">
                        <c:v>131501.49960305382</c:v>
                      </c:pt>
                      <c:pt idx="32">
                        <c:v>140706.60457526759</c:v>
                      </c:pt>
                      <c:pt idx="33">
                        <c:v>150556.06689553632</c:v>
                      </c:pt>
                      <c:pt idx="34">
                        <c:v>161094.99157822385</c:v>
                      </c:pt>
                      <c:pt idx="35">
                        <c:v>172371.64098869954</c:v>
                      </c:pt>
                      <c:pt idx="36">
                        <c:v>184437.65585790851</c:v>
                      </c:pt>
                      <c:pt idx="37">
                        <c:v>197348.29176796207</c:v>
                      </c:pt>
                      <c:pt idx="38">
                        <c:v>211162.67219171944</c:v>
                      </c:pt>
                      <c:pt idx="39">
                        <c:v>225944.0592451398</c:v>
                      </c:pt>
                      <c:pt idx="40">
                        <c:v>241760.14339229959</c:v>
                      </c:pt>
                      <c:pt idx="41">
                        <c:v>258683.35342976058</c:v>
                      </c:pt>
                      <c:pt idx="42">
                        <c:v>276791.18816984381</c:v>
                      </c:pt>
                      <c:pt idx="43">
                        <c:v>296166.57134173287</c:v>
                      </c:pt>
                      <c:pt idx="44">
                        <c:v>316898.23133565421</c:v>
                      </c:pt>
                      <c:pt idx="45">
                        <c:v>339081.10752914997</c:v>
                      </c:pt>
                      <c:pt idx="46">
                        <c:v>362816.78505619045</c:v>
                      </c:pt>
                      <c:pt idx="47">
                        <c:v>388213.96001012379</c:v>
                      </c:pt>
                      <c:pt idx="48">
                        <c:v>415388.93721083255</c:v>
                      </c:pt>
                      <c:pt idx="49">
                        <c:v>444466.16281559074</c:v>
                      </c:pt>
                      <c:pt idx="50">
                        <c:v>475578.79421268211</c:v>
                      </c:pt>
                      <c:pt idx="51">
                        <c:v>508869.30980756984</c:v>
                      </c:pt>
                      <c:pt idx="52">
                        <c:v>544490.16149409977</c:v>
                      </c:pt>
                      <c:pt idx="53">
                        <c:v>582604.47279868671</c:v>
                      </c:pt>
                      <c:pt idx="54">
                        <c:v>623386.78589459485</c:v>
                      </c:pt>
                      <c:pt idx="55">
                        <c:v>667023.86090721656</c:v>
                      </c:pt>
                      <c:pt idx="56">
                        <c:v>713715.53117072163</c:v>
                      </c:pt>
                      <c:pt idx="57">
                        <c:v>763675.6183526722</c:v>
                      </c:pt>
                      <c:pt idx="58">
                        <c:v>817132.9116373593</c:v>
                      </c:pt>
                      <c:pt idx="59">
                        <c:v>874332.21545197431</c:v>
                      </c:pt>
                      <c:pt idx="60">
                        <c:v>935535.47053361265</c:v>
                      </c:pt>
                      <c:pt idx="61">
                        <c:v>1001022.9534709654</c:v>
                      </c:pt>
                      <c:pt idx="62">
                        <c:v>1071094.560213933</c:v>
                      </c:pt>
                      <c:pt idx="63">
                        <c:v>1146071.1794289085</c:v>
                      </c:pt>
                      <c:pt idx="64">
                        <c:v>1226296.1619889319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B8DC-4B0F-84A9-689103ACDB7A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ETFVsETF!$I$3</c15:sqref>
                        </c15:formulaRef>
                      </c:ext>
                    </c:extLst>
                    <c:strCache>
                      <c:ptCount val="1"/>
                      <c:pt idx="0">
                        <c:v>Montante ETF 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ETFVsETF!$I$4:$I$68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65"/>
                      <c:pt idx="0">
                        <c:v>1500</c:v>
                      </c:pt>
                      <c:pt idx="1">
                        <c:v>3105</c:v>
                      </c:pt>
                      <c:pt idx="2">
                        <c:v>4822.3500000000004</c:v>
                      </c:pt>
                      <c:pt idx="3">
                        <c:v>6659.9145000000008</c:v>
                      </c:pt>
                      <c:pt idx="4">
                        <c:v>8626.1085150000017</c:v>
                      </c:pt>
                      <c:pt idx="5">
                        <c:v>10729.936111050001</c:v>
                      </c:pt>
                      <c:pt idx="6">
                        <c:v>12981.031638823501</c:v>
                      </c:pt>
                      <c:pt idx="7">
                        <c:v>15389.703853541145</c:v>
                      </c:pt>
                      <c:pt idx="8">
                        <c:v>17966.983123289025</c:v>
                      </c:pt>
                      <c:pt idx="9">
                        <c:v>20724.671941919256</c:v>
                      </c:pt>
                      <c:pt idx="10">
                        <c:v>23675.398977853605</c:v>
                      </c:pt>
                      <c:pt idx="11">
                        <c:v>26832.676906303357</c:v>
                      </c:pt>
                      <c:pt idx="12">
                        <c:v>30210.964289744592</c:v>
                      </c:pt>
                      <c:pt idx="13">
                        <c:v>33825.731790026715</c:v>
                      </c:pt>
                      <c:pt idx="14">
                        <c:v>37693.533015328583</c:v>
                      </c:pt>
                      <c:pt idx="15">
                        <c:v>41832.080326401585</c:v>
                      </c:pt>
                      <c:pt idx="16">
                        <c:v>46260.325949249695</c:v>
                      </c:pt>
                      <c:pt idx="17">
                        <c:v>50998.548765697175</c:v>
                      </c:pt>
                      <c:pt idx="18">
                        <c:v>56068.447179295974</c:v>
                      </c:pt>
                      <c:pt idx="19">
                        <c:v>61493.238481846696</c:v>
                      </c:pt>
                      <c:pt idx="20">
                        <c:v>67297.765175575973</c:v>
                      </c:pt>
                      <c:pt idx="21">
                        <c:v>73508.608737866292</c:v>
                      </c:pt>
                      <c:pt idx="22">
                        <c:v>80154.211349516932</c:v>
                      </c:pt>
                      <c:pt idx="23">
                        <c:v>87265.006143983119</c:v>
                      </c:pt>
                      <c:pt idx="24">
                        <c:v>94873.556574061935</c:v>
                      </c:pt>
                      <c:pt idx="25">
                        <c:v>103014.70553424627</c:v>
                      </c:pt>
                      <c:pt idx="26">
                        <c:v>111725.73492164351</c:v>
                      </c:pt>
                      <c:pt idx="27">
                        <c:v>121046.53636615856</c:v>
                      </c:pt>
                      <c:pt idx="28">
                        <c:v>131019.79391178966</c:v>
                      </c:pt>
                      <c:pt idx="29">
                        <c:v>141691.17948561494</c:v>
                      </c:pt>
                      <c:pt idx="30">
                        <c:v>153109.56204960798</c:v>
                      </c:pt>
                      <c:pt idx="31">
                        <c:v>165327.23139308055</c:v>
                      </c:pt>
                      <c:pt idx="32">
                        <c:v>178400.13759059619</c:v>
                      </c:pt>
                      <c:pt idx="33">
                        <c:v>192388.14722193792</c:v>
                      </c:pt>
                      <c:pt idx="34">
                        <c:v>207355.31752747358</c:v>
                      </c:pt>
                      <c:pt idx="35">
                        <c:v>223370.18975439674</c:v>
                      </c:pt>
                      <c:pt idx="36">
                        <c:v>240506.10303720451</c:v>
                      </c:pt>
                      <c:pt idx="37">
                        <c:v>258841.53024980883</c:v>
                      </c:pt>
                      <c:pt idx="38">
                        <c:v>278460.43736729544</c:v>
                      </c:pt>
                      <c:pt idx="39">
                        <c:v>299452.6679830061</c:v>
                      </c:pt>
                      <c:pt idx="40">
                        <c:v>321914.35474181653</c:v>
                      </c:pt>
                      <c:pt idx="41">
                        <c:v>345948.35957374366</c:v>
                      </c:pt>
                      <c:pt idx="42">
                        <c:v>371664.74474390573</c:v>
                      </c:pt>
                      <c:pt idx="43">
                        <c:v>399181.27687597915</c:v>
                      </c:pt>
                      <c:pt idx="44">
                        <c:v>428623.96625729767</c:v>
                      </c:pt>
                      <c:pt idx="45">
                        <c:v>460127.64389530849</c:v>
                      </c:pt>
                      <c:pt idx="46">
                        <c:v>493836.57896798011</c:v>
                      </c:pt>
                      <c:pt idx="47">
                        <c:v>529905.13949573867</c:v>
                      </c:pt>
                      <c:pt idx="48">
                        <c:v>568498.49926044035</c:v>
                      </c:pt>
                      <c:pt idx="49">
                        <c:v>609793.39420867118</c:v>
                      </c:pt>
                      <c:pt idx="50">
                        <c:v>653978.93180327816</c:v>
                      </c:pt>
                      <c:pt idx="51">
                        <c:v>701257.45702950761</c:v>
                      </c:pt>
                      <c:pt idx="52">
                        <c:v>751845.47902157321</c:v>
                      </c:pt>
                      <c:pt idx="53">
                        <c:v>805974.66255308338</c:v>
                      </c:pt>
                      <c:pt idx="54">
                        <c:v>863892.88893179921</c:v>
                      </c:pt>
                      <c:pt idx="55">
                        <c:v>925865.39115702512</c:v>
                      </c:pt>
                      <c:pt idx="56">
                        <c:v>992175.9685380169</c:v>
                      </c:pt>
                      <c:pt idx="57">
                        <c:v>1063128.2863356781</c:v>
                      </c:pt>
                      <c:pt idx="58">
                        <c:v>1139047.2663791755</c:v>
                      </c:pt>
                      <c:pt idx="59">
                        <c:v>1220280.5750257177</c:v>
                      </c:pt>
                      <c:pt idx="60">
                        <c:v>1307200.2152775179</c:v>
                      </c:pt>
                      <c:pt idx="61">
                        <c:v>1400204.2303469442</c:v>
                      </c:pt>
                      <c:pt idx="62">
                        <c:v>1499718.5264712302</c:v>
                      </c:pt>
                      <c:pt idx="63">
                        <c:v>1606198.8233242163</c:v>
                      </c:pt>
                      <c:pt idx="64">
                        <c:v>1720132.7409569114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8DC-4B0F-84A9-689103ACDB7A}"/>
                  </c:ext>
                </c:extLst>
              </c15:ser>
            </c15:filteredLineSeries>
          </c:ext>
        </c:extLst>
      </c:lineChart>
      <c:catAx>
        <c:axId val="13110293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65431231"/>
        <c:crosses val="autoZero"/>
        <c:auto val="1"/>
        <c:lblAlgn val="ctr"/>
        <c:lblOffset val="100"/>
        <c:noMultiLvlLbl val="0"/>
      </c:catAx>
      <c:valAx>
        <c:axId val="665431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11029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Rendite!$H$5</c:f>
              <c:strCache>
                <c:ptCount val="1"/>
                <c:pt idx="0">
                  <c:v>S.V. Maschio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Rendite!$H$6:$H$60</c:f>
              <c:numCache>
                <c:formatCode>_-* #,##0\ "€"_-;\-* #,##0\ "€"_-;_-* "-"??\ "€"_-;_-@_-</c:formatCode>
                <c:ptCount val="55"/>
                <c:pt idx="1">
                  <c:v>4978.96</c:v>
                </c:pt>
                <c:pt idx="2">
                  <c:v>4978.96</c:v>
                </c:pt>
                <c:pt idx="3">
                  <c:v>4978.96</c:v>
                </c:pt>
                <c:pt idx="4">
                  <c:v>4978.96</c:v>
                </c:pt>
                <c:pt idx="5">
                  <c:v>4978.96</c:v>
                </c:pt>
                <c:pt idx="6">
                  <c:v>4978.96</c:v>
                </c:pt>
                <c:pt idx="7">
                  <c:v>4978.96</c:v>
                </c:pt>
                <c:pt idx="8">
                  <c:v>4978.96</c:v>
                </c:pt>
                <c:pt idx="9">
                  <c:v>4978.96</c:v>
                </c:pt>
                <c:pt idx="10">
                  <c:v>4978.96</c:v>
                </c:pt>
                <c:pt idx="11">
                  <c:v>4978.96</c:v>
                </c:pt>
                <c:pt idx="12">
                  <c:v>4978.96</c:v>
                </c:pt>
                <c:pt idx="13">
                  <c:v>4978.96</c:v>
                </c:pt>
                <c:pt idx="14">
                  <c:v>4978.96</c:v>
                </c:pt>
                <c:pt idx="15">
                  <c:v>4978.96</c:v>
                </c:pt>
                <c:pt idx="16">
                  <c:v>4978.96</c:v>
                </c:pt>
                <c:pt idx="17">
                  <c:v>4978.96</c:v>
                </c:pt>
                <c:pt idx="18">
                  <c:v>4978.96</c:v>
                </c:pt>
                <c:pt idx="19">
                  <c:v>4978.96</c:v>
                </c:pt>
                <c:pt idx="20">
                  <c:v>4978.96</c:v>
                </c:pt>
                <c:pt idx="21">
                  <c:v>4978.96</c:v>
                </c:pt>
                <c:pt idx="22">
                  <c:v>4978.96</c:v>
                </c:pt>
                <c:pt idx="23">
                  <c:v>4978.96</c:v>
                </c:pt>
                <c:pt idx="24">
                  <c:v>4978.96</c:v>
                </c:pt>
                <c:pt idx="25">
                  <c:v>4978.96</c:v>
                </c:pt>
                <c:pt idx="26">
                  <c:v>4978.96</c:v>
                </c:pt>
                <c:pt idx="27">
                  <c:v>4978.96</c:v>
                </c:pt>
                <c:pt idx="28">
                  <c:v>4978.96</c:v>
                </c:pt>
                <c:pt idx="29">
                  <c:v>4978.96</c:v>
                </c:pt>
                <c:pt idx="30">
                  <c:v>4978.96</c:v>
                </c:pt>
                <c:pt idx="31">
                  <c:v>4978.96</c:v>
                </c:pt>
                <c:pt idx="32">
                  <c:v>4978.96</c:v>
                </c:pt>
                <c:pt idx="33">
                  <c:v>4978.96</c:v>
                </c:pt>
                <c:pt idx="34">
                  <c:v>4978.96</c:v>
                </c:pt>
                <c:pt idx="35">
                  <c:v>4978.96</c:v>
                </c:pt>
                <c:pt idx="36">
                  <c:v>4978.96</c:v>
                </c:pt>
                <c:pt idx="37">
                  <c:v>4978.96</c:v>
                </c:pt>
                <c:pt idx="38">
                  <c:v>4978.96</c:v>
                </c:pt>
                <c:pt idx="39">
                  <c:v>4978.96</c:v>
                </c:pt>
                <c:pt idx="40">
                  <c:v>4978.96</c:v>
                </c:pt>
                <c:pt idx="41">
                  <c:v>4978.96</c:v>
                </c:pt>
                <c:pt idx="42">
                  <c:v>4978.96</c:v>
                </c:pt>
                <c:pt idx="43">
                  <c:v>4978.96</c:v>
                </c:pt>
                <c:pt idx="44">
                  <c:v>4978.96</c:v>
                </c:pt>
                <c:pt idx="45">
                  <c:v>4978.96</c:v>
                </c:pt>
                <c:pt idx="46">
                  <c:v>4978.96</c:v>
                </c:pt>
                <c:pt idx="47">
                  <c:v>4978.96</c:v>
                </c:pt>
                <c:pt idx="48">
                  <c:v>4978.96</c:v>
                </c:pt>
                <c:pt idx="49">
                  <c:v>4978.96</c:v>
                </c:pt>
                <c:pt idx="50">
                  <c:v>4978.96</c:v>
                </c:pt>
                <c:pt idx="51">
                  <c:v>4978.96</c:v>
                </c:pt>
                <c:pt idx="52">
                  <c:v>4978.96</c:v>
                </c:pt>
                <c:pt idx="53">
                  <c:v>4978.96</c:v>
                </c:pt>
                <c:pt idx="54">
                  <c:v>4978.96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52-461A-A190-CBC0B222A20A}"/>
            </c:ext>
          </c:extLst>
        </c:ser>
        <c:ser>
          <c:idx val="2"/>
          <c:order val="2"/>
          <c:tx>
            <c:strRef>
              <c:f>Rendite!$I$5</c:f>
              <c:strCache>
                <c:ptCount val="1"/>
                <c:pt idx="0">
                  <c:v>S.V. Femmina</c:v>
                </c:pt>
              </c:strCache>
            </c:strRef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Rendite!$I$6:$I$60</c:f>
              <c:numCache>
                <c:formatCode>_-* #,##0\ "€"_-;\-* #,##0\ "€"_-;_-* "-"??\ "€"_-;_-@_-</c:formatCode>
                <c:ptCount val="55"/>
                <c:pt idx="1">
                  <c:v>4229.12</c:v>
                </c:pt>
                <c:pt idx="2">
                  <c:v>4229.12</c:v>
                </c:pt>
                <c:pt idx="3">
                  <c:v>4229.12</c:v>
                </c:pt>
                <c:pt idx="4">
                  <c:v>4229.12</c:v>
                </c:pt>
                <c:pt idx="5">
                  <c:v>4229.12</c:v>
                </c:pt>
                <c:pt idx="6">
                  <c:v>4229.12</c:v>
                </c:pt>
                <c:pt idx="7">
                  <c:v>4229.12</c:v>
                </c:pt>
                <c:pt idx="8">
                  <c:v>4229.12</c:v>
                </c:pt>
                <c:pt idx="9">
                  <c:v>4229.12</c:v>
                </c:pt>
                <c:pt idx="10">
                  <c:v>4229.12</c:v>
                </c:pt>
                <c:pt idx="11">
                  <c:v>4229.12</c:v>
                </c:pt>
                <c:pt idx="12">
                  <c:v>4229.12</c:v>
                </c:pt>
                <c:pt idx="13">
                  <c:v>4229.12</c:v>
                </c:pt>
                <c:pt idx="14">
                  <c:v>4229.12</c:v>
                </c:pt>
                <c:pt idx="15">
                  <c:v>4229.12</c:v>
                </c:pt>
                <c:pt idx="16">
                  <c:v>4229.12</c:v>
                </c:pt>
                <c:pt idx="17">
                  <c:v>4229.12</c:v>
                </c:pt>
                <c:pt idx="18">
                  <c:v>4229.12</c:v>
                </c:pt>
                <c:pt idx="19">
                  <c:v>4229.12</c:v>
                </c:pt>
                <c:pt idx="20">
                  <c:v>4229.12</c:v>
                </c:pt>
                <c:pt idx="21">
                  <c:v>4229.12</c:v>
                </c:pt>
                <c:pt idx="22">
                  <c:v>4229.12</c:v>
                </c:pt>
                <c:pt idx="23">
                  <c:v>4229.12</c:v>
                </c:pt>
                <c:pt idx="24">
                  <c:v>4229.12</c:v>
                </c:pt>
                <c:pt idx="25">
                  <c:v>4229.12</c:v>
                </c:pt>
                <c:pt idx="26">
                  <c:v>4229.12</c:v>
                </c:pt>
                <c:pt idx="27">
                  <c:v>4229.12</c:v>
                </c:pt>
                <c:pt idx="28">
                  <c:v>4229.12</c:v>
                </c:pt>
                <c:pt idx="29">
                  <c:v>4229.12</c:v>
                </c:pt>
                <c:pt idx="30">
                  <c:v>4229.12</c:v>
                </c:pt>
                <c:pt idx="31">
                  <c:v>4229.12</c:v>
                </c:pt>
                <c:pt idx="32">
                  <c:v>4229.12</c:v>
                </c:pt>
                <c:pt idx="33">
                  <c:v>4229.12</c:v>
                </c:pt>
                <c:pt idx="34">
                  <c:v>4229.12</c:v>
                </c:pt>
                <c:pt idx="35">
                  <c:v>4229.12</c:v>
                </c:pt>
                <c:pt idx="36">
                  <c:v>4229.12</c:v>
                </c:pt>
                <c:pt idx="37">
                  <c:v>4229.12</c:v>
                </c:pt>
                <c:pt idx="38">
                  <c:v>4229.12</c:v>
                </c:pt>
                <c:pt idx="39">
                  <c:v>4229.12</c:v>
                </c:pt>
                <c:pt idx="40">
                  <c:v>4229.12</c:v>
                </c:pt>
                <c:pt idx="41">
                  <c:v>4229.12</c:v>
                </c:pt>
                <c:pt idx="42">
                  <c:v>4229.12</c:v>
                </c:pt>
                <c:pt idx="43">
                  <c:v>4229.12</c:v>
                </c:pt>
                <c:pt idx="44">
                  <c:v>4229.12</c:v>
                </c:pt>
                <c:pt idx="45">
                  <c:v>4229.12</c:v>
                </c:pt>
                <c:pt idx="46">
                  <c:v>4229.12</c:v>
                </c:pt>
                <c:pt idx="47">
                  <c:v>4229.12</c:v>
                </c:pt>
                <c:pt idx="48">
                  <c:v>4229.12</c:v>
                </c:pt>
                <c:pt idx="49">
                  <c:v>4229.12</c:v>
                </c:pt>
                <c:pt idx="50">
                  <c:v>4229.12</c:v>
                </c:pt>
                <c:pt idx="51">
                  <c:v>4229.12</c:v>
                </c:pt>
                <c:pt idx="52">
                  <c:v>4229.12</c:v>
                </c:pt>
                <c:pt idx="53">
                  <c:v>4229.12</c:v>
                </c:pt>
                <c:pt idx="54">
                  <c:v>4229.12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52-461A-A190-CBC0B222A20A}"/>
            </c:ext>
          </c:extLst>
        </c:ser>
        <c:ser>
          <c:idx val="3"/>
          <c:order val="3"/>
          <c:tx>
            <c:strRef>
              <c:f>Rendite!$J$5</c:f>
              <c:strCache>
                <c:ptCount val="1"/>
                <c:pt idx="0">
                  <c:v>Amundi</c:v>
                </c:pt>
              </c:strCache>
            </c:strRef>
          </c:tx>
          <c:spPr>
            <a:ln w="34925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Rendite!$J$6:$J$60</c:f>
              <c:numCache>
                <c:formatCode>_-* #,##0\ "€"_-;\-* #,##0\ "€"_-;_-* "-"??\ "€"_-;_-@_-</c:formatCode>
                <c:ptCount val="55"/>
                <c:pt idx="0" formatCode="_(&quot;€&quot;* #,##0.00_);_(&quot;€&quot;* \(#,##0.00\);_(&quot;€&quot;* &quot;-&quot;??_);_(@_)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52-461A-A190-CBC0B222A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9951984"/>
        <c:axId val="203482081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Rendite!$G$5</c15:sqref>
                        </c15:formulaRef>
                      </c:ext>
                    </c:extLst>
                    <c:strCache>
                      <c:ptCount val="1"/>
                      <c:pt idx="0">
                        <c:v>Anno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Rendite!$G$6:$G$60</c15:sqref>
                        </c15:formulaRef>
                      </c:ext>
                    </c:extLst>
                    <c:numCache>
                      <c:formatCode>General</c:formatCode>
                      <c:ptCount val="55"/>
                      <c:pt idx="0">
                        <c:v>67</c:v>
                      </c:pt>
                      <c:pt idx="1">
                        <c:v>68</c:v>
                      </c:pt>
                      <c:pt idx="2">
                        <c:v>69</c:v>
                      </c:pt>
                      <c:pt idx="3">
                        <c:v>70</c:v>
                      </c:pt>
                      <c:pt idx="4">
                        <c:v>71</c:v>
                      </c:pt>
                      <c:pt idx="5">
                        <c:v>72</c:v>
                      </c:pt>
                      <c:pt idx="6">
                        <c:v>73</c:v>
                      </c:pt>
                      <c:pt idx="7">
                        <c:v>74</c:v>
                      </c:pt>
                      <c:pt idx="8">
                        <c:v>75</c:v>
                      </c:pt>
                      <c:pt idx="9">
                        <c:v>76</c:v>
                      </c:pt>
                      <c:pt idx="10">
                        <c:v>77</c:v>
                      </c:pt>
                      <c:pt idx="11">
                        <c:v>78</c:v>
                      </c:pt>
                      <c:pt idx="12">
                        <c:v>79</c:v>
                      </c:pt>
                      <c:pt idx="13">
                        <c:v>80</c:v>
                      </c:pt>
                      <c:pt idx="14">
                        <c:v>81</c:v>
                      </c:pt>
                      <c:pt idx="15">
                        <c:v>82</c:v>
                      </c:pt>
                      <c:pt idx="16">
                        <c:v>83</c:v>
                      </c:pt>
                      <c:pt idx="17">
                        <c:v>84</c:v>
                      </c:pt>
                      <c:pt idx="18">
                        <c:v>85</c:v>
                      </c:pt>
                      <c:pt idx="19">
                        <c:v>86</c:v>
                      </c:pt>
                      <c:pt idx="20">
                        <c:v>87</c:v>
                      </c:pt>
                      <c:pt idx="21">
                        <c:v>88</c:v>
                      </c:pt>
                      <c:pt idx="22">
                        <c:v>89</c:v>
                      </c:pt>
                      <c:pt idx="23">
                        <c:v>90</c:v>
                      </c:pt>
                      <c:pt idx="24">
                        <c:v>91</c:v>
                      </c:pt>
                      <c:pt idx="25">
                        <c:v>92</c:v>
                      </c:pt>
                      <c:pt idx="26">
                        <c:v>93</c:v>
                      </c:pt>
                      <c:pt idx="27">
                        <c:v>94</c:v>
                      </c:pt>
                      <c:pt idx="28">
                        <c:v>95</c:v>
                      </c:pt>
                      <c:pt idx="29">
                        <c:v>96</c:v>
                      </c:pt>
                      <c:pt idx="30">
                        <c:v>97</c:v>
                      </c:pt>
                      <c:pt idx="31">
                        <c:v>98</c:v>
                      </c:pt>
                      <c:pt idx="32">
                        <c:v>99</c:v>
                      </c:pt>
                      <c:pt idx="33">
                        <c:v>100</c:v>
                      </c:pt>
                      <c:pt idx="34">
                        <c:v>101</c:v>
                      </c:pt>
                      <c:pt idx="35">
                        <c:v>102</c:v>
                      </c:pt>
                      <c:pt idx="36">
                        <c:v>103</c:v>
                      </c:pt>
                      <c:pt idx="37">
                        <c:v>104</c:v>
                      </c:pt>
                      <c:pt idx="38">
                        <c:v>105</c:v>
                      </c:pt>
                      <c:pt idx="39">
                        <c:v>106</c:v>
                      </c:pt>
                      <c:pt idx="40">
                        <c:v>107</c:v>
                      </c:pt>
                      <c:pt idx="41">
                        <c:v>108</c:v>
                      </c:pt>
                      <c:pt idx="42">
                        <c:v>109</c:v>
                      </c:pt>
                      <c:pt idx="43">
                        <c:v>110</c:v>
                      </c:pt>
                      <c:pt idx="44">
                        <c:v>111</c:v>
                      </c:pt>
                      <c:pt idx="45">
                        <c:v>112</c:v>
                      </c:pt>
                      <c:pt idx="46">
                        <c:v>113</c:v>
                      </c:pt>
                      <c:pt idx="47">
                        <c:v>114</c:v>
                      </c:pt>
                      <c:pt idx="48">
                        <c:v>115</c:v>
                      </c:pt>
                      <c:pt idx="49">
                        <c:v>116</c:v>
                      </c:pt>
                      <c:pt idx="50">
                        <c:v>117</c:v>
                      </c:pt>
                      <c:pt idx="51">
                        <c:v>118</c:v>
                      </c:pt>
                      <c:pt idx="52">
                        <c:v>119</c:v>
                      </c:pt>
                      <c:pt idx="53">
                        <c:v>120</c:v>
                      </c:pt>
                      <c:pt idx="54">
                        <c:v>121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0552-461A-A190-CBC0B222A20A}"/>
                  </c:ext>
                </c:extLst>
              </c15:ser>
            </c15:filteredLineSeries>
          </c:ext>
        </c:extLst>
      </c:lineChart>
      <c:catAx>
        <c:axId val="17799519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34820816"/>
        <c:crosses val="autoZero"/>
        <c:auto val="1"/>
        <c:lblAlgn val="ctr"/>
        <c:lblOffset val="100"/>
        <c:noMultiLvlLbl val="0"/>
      </c:catAx>
      <c:valAx>
        <c:axId val="203482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79951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213360</xdr:rowOff>
    </xdr:from>
    <xdr:to>
      <xdr:col>21</xdr:col>
      <xdr:colOff>15240</xdr:colOff>
      <xdr:row>31</xdr:row>
      <xdr:rowOff>30480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FE73710-D65A-83CC-1DDA-FDE15A8E55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304800</xdr:colOff>
      <xdr:row>23</xdr:row>
      <xdr:rowOff>220980</xdr:rowOff>
    </xdr:from>
    <xdr:to>
      <xdr:col>35</xdr:col>
      <xdr:colOff>464820</xdr:colOff>
      <xdr:row>47</xdr:row>
      <xdr:rowOff>91440</xdr:rowOff>
    </xdr:to>
    <xdr:sp macro="" textlink="">
      <xdr:nvSpPr>
        <xdr:cNvPr id="5" name="Rettangolo 4">
          <a:extLst>
            <a:ext uri="{FF2B5EF4-FFF2-40B4-BE49-F238E27FC236}">
              <a16:creationId xmlns:a16="http://schemas.microsoft.com/office/drawing/2014/main" id="{8A930F9F-3D0E-EC5A-7C29-69EC91DC4587}"/>
            </a:ext>
          </a:extLst>
        </xdr:cNvPr>
        <xdr:cNvSpPr/>
      </xdr:nvSpPr>
      <xdr:spPr>
        <a:xfrm>
          <a:off x="16954500" y="5257800"/>
          <a:ext cx="16024860" cy="520446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0</xdr:colOff>
      <xdr:row>25</xdr:row>
      <xdr:rowOff>22860</xdr:rowOff>
    </xdr:from>
    <xdr:to>
      <xdr:col>3</xdr:col>
      <xdr:colOff>1013460</xdr:colOff>
      <xdr:row>42</xdr:row>
      <xdr:rowOff>190500</xdr:rowOff>
    </xdr:to>
    <xdr:sp macro="" textlink="">
      <xdr:nvSpPr>
        <xdr:cNvPr id="2" name="Rettangolo 1">
          <a:extLst>
            <a:ext uri="{FF2B5EF4-FFF2-40B4-BE49-F238E27FC236}">
              <a16:creationId xmlns:a16="http://schemas.microsoft.com/office/drawing/2014/main" id="{1F448D41-3C27-BFEB-95D1-CA5480062A92}"/>
            </a:ext>
          </a:extLst>
        </xdr:cNvPr>
        <xdr:cNvSpPr/>
      </xdr:nvSpPr>
      <xdr:spPr>
        <a:xfrm>
          <a:off x="0" y="5532120"/>
          <a:ext cx="6781800" cy="39243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1424940</xdr:colOff>
      <xdr:row>2</xdr:row>
      <xdr:rowOff>160020</xdr:rowOff>
    </xdr:from>
    <xdr:to>
      <xdr:col>25</xdr:col>
      <xdr:colOff>247650</xdr:colOff>
      <xdr:row>29</xdr:row>
      <xdr:rowOff>95250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1A6B375-144D-420C-AD1C-8E1C782C38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899160</xdr:colOff>
      <xdr:row>27</xdr:row>
      <xdr:rowOff>175260</xdr:rowOff>
    </xdr:from>
    <xdr:to>
      <xdr:col>3</xdr:col>
      <xdr:colOff>434340</xdr:colOff>
      <xdr:row>48</xdr:row>
      <xdr:rowOff>121920</xdr:rowOff>
    </xdr:to>
    <xdr:sp macro="" textlink="">
      <xdr:nvSpPr>
        <xdr:cNvPr id="3" name="Rettangolo 2">
          <a:extLst>
            <a:ext uri="{FF2B5EF4-FFF2-40B4-BE49-F238E27FC236}">
              <a16:creationId xmlns:a16="http://schemas.microsoft.com/office/drawing/2014/main" id="{07589778-B4A6-92C9-669D-3CB8FBFCBF20}"/>
            </a:ext>
          </a:extLst>
        </xdr:cNvPr>
        <xdr:cNvSpPr/>
      </xdr:nvSpPr>
      <xdr:spPr>
        <a:xfrm>
          <a:off x="899160" y="6576060"/>
          <a:ext cx="4975860" cy="458724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407670</xdr:colOff>
      <xdr:row>2</xdr:row>
      <xdr:rowOff>268604</xdr:rowOff>
    </xdr:from>
    <xdr:to>
      <xdr:col>15</xdr:col>
      <xdr:colOff>453390</xdr:colOff>
      <xdr:row>19</xdr:row>
      <xdr:rowOff>220979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3069675-C363-459E-326A-27E8257A80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434340</xdr:colOff>
      <xdr:row>5</xdr:row>
      <xdr:rowOff>89534</xdr:rowOff>
    </xdr:from>
    <xdr:to>
      <xdr:col>20</xdr:col>
      <xdr:colOff>457200</xdr:colOff>
      <xdr:row>29</xdr:row>
      <xdr:rowOff>106680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1CA60A2-71E3-E3D5-9EE5-F91377E3E5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15F9E-D06F-4807-9E26-4292F179D941}">
  <dimension ref="A1:L28"/>
  <sheetViews>
    <sheetView tabSelected="1" topLeftCell="A2" workbookViewId="0">
      <selection activeCell="C18" sqref="C18"/>
    </sheetView>
  </sheetViews>
  <sheetFormatPr defaultColWidth="8.89453125" defaultRowHeight="17.399999999999999" x14ac:dyDescent="0.55000000000000004"/>
  <cols>
    <col min="1" max="1" width="15.41796875" style="1" customWidth="1"/>
    <col min="2" max="2" width="50.3125" style="1" bestFit="1" customWidth="1"/>
    <col min="3" max="3" width="18.1015625" style="1" bestFit="1" customWidth="1"/>
    <col min="4" max="4" width="10.7890625" style="1" bestFit="1" customWidth="1"/>
    <col min="5" max="5" width="45.20703125" style="1" customWidth="1"/>
    <col min="6" max="6" width="15.20703125" style="1" customWidth="1"/>
    <col min="7" max="7" width="11.89453125" style="1" customWidth="1"/>
    <col min="8" max="8" width="9.1015625" style="1" customWidth="1"/>
    <col min="9" max="9" width="22" style="1" customWidth="1"/>
    <col min="10" max="10" width="21.7890625" style="1" customWidth="1"/>
    <col min="11" max="11" width="14" style="1" customWidth="1"/>
    <col min="12" max="12" width="13.41796875" style="1" customWidth="1"/>
    <col min="13" max="16384" width="8.89453125" style="1"/>
  </cols>
  <sheetData>
    <row r="1" spans="1:12" ht="17.7" hidden="1" x14ac:dyDescent="0.6">
      <c r="A1" s="1" t="s">
        <v>57</v>
      </c>
      <c r="C1" s="23">
        <f>C4/0.7</f>
        <v>50000</v>
      </c>
      <c r="D1" s="10"/>
      <c r="E1" s="1" t="s">
        <v>54</v>
      </c>
    </row>
    <row r="2" spans="1:12" ht="17.7" x14ac:dyDescent="0.6">
      <c r="B2" s="1" t="s">
        <v>135</v>
      </c>
      <c r="C2" s="23">
        <f>+C4/0.8</f>
        <v>43750</v>
      </c>
      <c r="D2" s="10"/>
    </row>
    <row r="3" spans="1:12" ht="17.7" x14ac:dyDescent="0.6">
      <c r="A3" s="1" t="s">
        <v>24</v>
      </c>
      <c r="B3" s="1" t="s">
        <v>25</v>
      </c>
      <c r="E3" s="22" t="s">
        <v>46</v>
      </c>
      <c r="F3" s="23">
        <v>5165</v>
      </c>
      <c r="I3" s="1" t="s">
        <v>26</v>
      </c>
      <c r="J3" s="1" t="s">
        <v>17</v>
      </c>
    </row>
    <row r="4" spans="1:12" ht="17.7" x14ac:dyDescent="0.6">
      <c r="A4" s="1" t="s">
        <v>2</v>
      </c>
      <c r="B4" s="22" t="s">
        <v>40</v>
      </c>
      <c r="C4" s="48">
        <v>35000</v>
      </c>
      <c r="D4" s="2"/>
      <c r="E4" s="22" t="s">
        <v>45</v>
      </c>
      <c r="F4" s="10">
        <f>F3-F8</f>
        <v>0</v>
      </c>
      <c r="H4" s="1">
        <f>15000*J4</f>
        <v>3450</v>
      </c>
      <c r="I4" s="1" t="s">
        <v>7</v>
      </c>
      <c r="J4" s="3">
        <v>0.23</v>
      </c>
      <c r="K4" s="4"/>
    </row>
    <row r="5" spans="1:12" ht="17.7" x14ac:dyDescent="0.6">
      <c r="B5" s="5" t="s">
        <v>41</v>
      </c>
      <c r="C5" s="6">
        <f>C4*0.06907</f>
        <v>2417.4500000000003</v>
      </c>
      <c r="D5" s="2"/>
      <c r="E5" s="22"/>
      <c r="F5" s="47"/>
      <c r="H5" s="1">
        <f>13000*J5</f>
        <v>3250</v>
      </c>
      <c r="I5" s="1" t="s">
        <v>8</v>
      </c>
      <c r="J5" s="3">
        <v>0.25</v>
      </c>
      <c r="K5" s="4"/>
    </row>
    <row r="6" spans="1:12" ht="17.7" x14ac:dyDescent="0.6">
      <c r="A6" s="1" t="s">
        <v>3</v>
      </c>
      <c r="B6" s="7" t="s">
        <v>0</v>
      </c>
      <c r="C6" s="8">
        <f>C4*D6</f>
        <v>3216.5</v>
      </c>
      <c r="D6" s="24">
        <v>9.1899999999999996E-2</v>
      </c>
      <c r="E6" s="22"/>
      <c r="F6" s="23"/>
      <c r="H6" s="1">
        <f>(50000-28000)*J6</f>
        <v>7699.9999999999991</v>
      </c>
      <c r="I6" s="1" t="s">
        <v>9</v>
      </c>
      <c r="J6" s="3">
        <v>0.35</v>
      </c>
      <c r="K6" s="4"/>
    </row>
    <row r="7" spans="1:12" ht="18" thickBot="1" x14ac:dyDescent="0.65">
      <c r="A7" s="1" t="s">
        <v>4</v>
      </c>
      <c r="B7" s="7" t="s">
        <v>1</v>
      </c>
      <c r="C7" s="8">
        <f>IF(C4&gt;48279,(C4-48279)*0.01,0)</f>
        <v>0</v>
      </c>
      <c r="D7" s="9"/>
      <c r="E7" s="1" t="s">
        <v>56</v>
      </c>
      <c r="F7" s="10"/>
      <c r="I7" s="1" t="s">
        <v>10</v>
      </c>
      <c r="J7" s="3">
        <v>0.43</v>
      </c>
      <c r="K7" s="4"/>
      <c r="L7" s="10"/>
    </row>
    <row r="8" spans="1:12" ht="17.7" x14ac:dyDescent="0.6">
      <c r="B8" s="7" t="s">
        <v>21</v>
      </c>
      <c r="C8" s="11">
        <f>C6+C7</f>
        <v>3216.5</v>
      </c>
      <c r="D8" s="12"/>
      <c r="E8" s="13" t="s">
        <v>53</v>
      </c>
      <c r="F8" s="14">
        <v>5165</v>
      </c>
      <c r="G8" s="4"/>
      <c r="K8" s="4"/>
    </row>
    <row r="9" spans="1:12" ht="17.7" x14ac:dyDescent="0.6">
      <c r="A9" s="1" t="s">
        <v>6</v>
      </c>
      <c r="B9" s="15" t="s">
        <v>5</v>
      </c>
      <c r="C9" s="16">
        <f>C4-C8</f>
        <v>31783.5</v>
      </c>
      <c r="D9" s="10"/>
      <c r="E9" s="25">
        <f>C9-F8</f>
        <v>26618.5</v>
      </c>
      <c r="F9" s="19">
        <f>C9-E9</f>
        <v>5165</v>
      </c>
      <c r="L9" s="4"/>
    </row>
    <row r="10" spans="1:12" ht="17.7" x14ac:dyDescent="0.6">
      <c r="A10" s="1" t="s">
        <v>12</v>
      </c>
      <c r="B10" s="15" t="s">
        <v>11</v>
      </c>
      <c r="C10" s="16">
        <f>IF(C9&gt;50000,(H4+H5+H6+(C9-50000)*J7),IF(C9&gt;28000,H4+H5+(C9-28000)*J6,IF(C9&gt;15000,H4+(C9-15000)*J5,C9*J4)))</f>
        <v>8024.2250000000004</v>
      </c>
      <c r="D10" s="4">
        <f>C10/C9</f>
        <v>0.25246511554737522</v>
      </c>
      <c r="E10" s="25">
        <f>IF(E9&gt;50000,(H4+H5+H6+(E9-50000)*J7),IF(E9&gt;28000,H4+H5+(E9-28000)*J6,IF(E9&gt;15000,H4+(E9-15000)*J5,E9*J4)))</f>
        <v>6354.625</v>
      </c>
      <c r="F10" s="19">
        <f>C10-E10</f>
        <v>1669.6000000000004</v>
      </c>
      <c r="L10" s="4"/>
    </row>
    <row r="11" spans="1:12" ht="17.7" x14ac:dyDescent="0.6">
      <c r="A11" s="1" t="s">
        <v>13</v>
      </c>
      <c r="B11" s="15" t="s">
        <v>14</v>
      </c>
      <c r="C11" s="16">
        <f>IF(C9&gt;50000,(H12+H13+H14+(C9-50000)*J15),IF(C9&gt;28000,H12+H13+(C9-28000)*J14,IF(C9&gt;15000,H12+(C9-15000)*J13,C9*J12)))</f>
        <v>454.97620000000006</v>
      </c>
      <c r="D11" s="10"/>
      <c r="E11" s="25">
        <f>IF(E9&gt;50000,(H12+H13+H14+(E9-50000)*J15),IF(E9&gt;28000,H12+H13+(E9-28000)*J14,IF(E9&gt;15000,H12+(E9-15000)*J13,E9*J12)))</f>
        <v>368.07230000000004</v>
      </c>
      <c r="F11" s="19">
        <f t="shared" ref="F11:F12" si="0">C11-E11</f>
        <v>86.903900000000021</v>
      </c>
      <c r="I11" s="1" t="s">
        <v>26</v>
      </c>
      <c r="J11" s="1" t="s">
        <v>35</v>
      </c>
    </row>
    <row r="12" spans="1:12" ht="17.7" x14ac:dyDescent="0.6">
      <c r="A12" s="1" t="s">
        <v>15</v>
      </c>
      <c r="B12" s="15" t="s">
        <v>16</v>
      </c>
      <c r="C12" s="16">
        <f>IF(C9&gt;23000,C9*J19,0)</f>
        <v>254.268</v>
      </c>
      <c r="D12" s="10"/>
      <c r="E12" s="25">
        <f>IF(E9&gt;23000,E9*J19,0)</f>
        <v>212.94800000000001</v>
      </c>
      <c r="F12" s="19">
        <f t="shared" si="0"/>
        <v>41.319999999999993</v>
      </c>
      <c r="H12" s="1">
        <f>15000*J12</f>
        <v>184.5</v>
      </c>
      <c r="I12" s="1" t="s">
        <v>7</v>
      </c>
      <c r="J12" s="4">
        <v>1.23E-2</v>
      </c>
    </row>
    <row r="13" spans="1:12" ht="17.7" x14ac:dyDescent="0.6">
      <c r="B13" s="15" t="s">
        <v>27</v>
      </c>
      <c r="C13" s="16">
        <f>C10+C11+C12</f>
        <v>8733.4691999999995</v>
      </c>
      <c r="D13" s="10"/>
      <c r="E13" s="25">
        <f>E10+E11+E12</f>
        <v>6935.6453000000001</v>
      </c>
      <c r="F13" s="19">
        <f>C13-E13</f>
        <v>1797.8238999999994</v>
      </c>
      <c r="H13" s="1">
        <f>13000*J13</f>
        <v>205.40000000000003</v>
      </c>
      <c r="I13" s="1" t="s">
        <v>8</v>
      </c>
      <c r="J13" s="4">
        <v>1.5800000000000002E-2</v>
      </c>
    </row>
    <row r="14" spans="1:12" x14ac:dyDescent="0.55000000000000004">
      <c r="A14" s="1" t="s">
        <v>20</v>
      </c>
      <c r="B14" s="1" t="s">
        <v>22</v>
      </c>
      <c r="C14" s="10">
        <f>IF(C9&gt;50000,0,IF(C9&gt;28000,1910*(50000-C9)/22000,IF(C9&gt;15000,1910+1190*(28000-C9)/13000,J22)))</f>
        <v>1581.5234090909091</v>
      </c>
      <c r="D14" s="10"/>
      <c r="E14" s="17">
        <f>IF(E7="Trattenute dalla busta paga",IF(E9&gt;50000,0,IF(E9&gt;28000,1910*(50000-E9)/22000,IF(E9&gt;15000,1910+1190*(28000-E9)/13000,J22))),C14)</f>
        <v>1581.5234090909091</v>
      </c>
      <c r="F14" s="19">
        <f t="shared" ref="F14:F15" si="1">C14-E14</f>
        <v>0</v>
      </c>
      <c r="H14" s="1">
        <f>22000*J14</f>
        <v>378.4</v>
      </c>
      <c r="I14" s="1" t="s">
        <v>9</v>
      </c>
      <c r="J14" s="4">
        <v>1.72E-2</v>
      </c>
    </row>
    <row r="15" spans="1:12" x14ac:dyDescent="0.55000000000000004">
      <c r="A15" s="1" t="s">
        <v>23</v>
      </c>
      <c r="B15" s="1" t="s">
        <v>30</v>
      </c>
      <c r="C15" s="10">
        <f>IF(AND(C9&gt;25000,C9&lt;=35000),65,0)</f>
        <v>65</v>
      </c>
      <c r="D15" s="10"/>
      <c r="E15" s="17">
        <f>IF(E7="Trattenute dalla busta paga",IF(AND(E9&gt;25000,E9&lt;=35000),65,0),C15)</f>
        <v>65</v>
      </c>
      <c r="F15" s="19">
        <f t="shared" si="1"/>
        <v>0</v>
      </c>
      <c r="I15" s="1" t="s">
        <v>10</v>
      </c>
      <c r="J15" s="4">
        <v>1.7299999999999999E-2</v>
      </c>
    </row>
    <row r="16" spans="1:12" x14ac:dyDescent="0.55000000000000004">
      <c r="A16" s="1" t="s">
        <v>37</v>
      </c>
      <c r="B16" s="1" t="s">
        <v>38</v>
      </c>
      <c r="C16" s="10">
        <f>C9-C10-C11-C12+C14+C15</f>
        <v>24696.554209090911</v>
      </c>
      <c r="D16" s="10"/>
      <c r="E16" s="17">
        <f>E9-E13+E14+E15</f>
        <v>21329.378109090911</v>
      </c>
      <c r="F16" s="19">
        <f>C16-E16</f>
        <v>3367.1761000000006</v>
      </c>
    </row>
    <row r="17" spans="1:10" x14ac:dyDescent="0.55000000000000004">
      <c r="E17" s="17"/>
      <c r="F17" s="18"/>
      <c r="I17" s="1" t="s">
        <v>33</v>
      </c>
      <c r="J17" s="1" t="s">
        <v>36</v>
      </c>
    </row>
    <row r="18" spans="1:10" x14ac:dyDescent="0.55000000000000004">
      <c r="A18" s="1">
        <v>13</v>
      </c>
      <c r="B18" s="1" t="s">
        <v>43</v>
      </c>
      <c r="C18" s="10">
        <f>C16/A18</f>
        <v>1899.7349391608393</v>
      </c>
      <c r="E18" s="17">
        <f>E16/A18</f>
        <v>1640.7213930069931</v>
      </c>
      <c r="F18" s="19">
        <f>C18-E18</f>
        <v>259.01354615384616</v>
      </c>
      <c r="I18" s="1" t="s">
        <v>18</v>
      </c>
      <c r="J18" s="4">
        <v>0</v>
      </c>
    </row>
    <row r="19" spans="1:10" ht="17.7" thickBot="1" x14ac:dyDescent="0.6">
      <c r="A19" s="1">
        <v>14</v>
      </c>
      <c r="B19" s="1" t="s">
        <v>44</v>
      </c>
      <c r="C19" s="10">
        <f>C16/A19</f>
        <v>1764.0395863636365</v>
      </c>
      <c r="E19" s="20">
        <f>E16/A19</f>
        <v>1523.527007792208</v>
      </c>
      <c r="F19" s="29">
        <f>C19-E19</f>
        <v>240.51257857142855</v>
      </c>
      <c r="I19" s="1" t="s">
        <v>19</v>
      </c>
      <c r="J19" s="4">
        <v>8.0000000000000002E-3</v>
      </c>
    </row>
    <row r="20" spans="1:10" ht="17.7" thickBot="1" x14ac:dyDescent="0.6">
      <c r="C20" s="10"/>
    </row>
    <row r="21" spans="1:10" x14ac:dyDescent="0.55000000000000004">
      <c r="C21" s="10"/>
      <c r="E21" s="26" t="s">
        <v>39</v>
      </c>
      <c r="F21" s="27">
        <f>C16-E16</f>
        <v>3367.1761000000006</v>
      </c>
      <c r="I21" s="1" t="s">
        <v>33</v>
      </c>
      <c r="J21" s="1" t="s">
        <v>28</v>
      </c>
    </row>
    <row r="22" spans="1:10" ht="17.7" thickBot="1" x14ac:dyDescent="0.6">
      <c r="C22" s="10"/>
      <c r="E22" s="28" t="s">
        <v>50</v>
      </c>
      <c r="F22" s="29">
        <f>F8</f>
        <v>5165</v>
      </c>
      <c r="I22" s="1" t="s">
        <v>7</v>
      </c>
      <c r="J22" s="1">
        <v>1880</v>
      </c>
    </row>
    <row r="23" spans="1:10" x14ac:dyDescent="0.55000000000000004">
      <c r="F23" s="10">
        <f>F22-F21</f>
        <v>1797.8238999999994</v>
      </c>
      <c r="I23" s="1" t="s">
        <v>8</v>
      </c>
      <c r="J23" s="1" t="s">
        <v>29</v>
      </c>
    </row>
    <row r="24" spans="1:10" x14ac:dyDescent="0.55000000000000004">
      <c r="G24" s="10"/>
      <c r="I24" s="1" t="s">
        <v>9</v>
      </c>
      <c r="J24" s="1" t="s">
        <v>34</v>
      </c>
    </row>
    <row r="25" spans="1:10" x14ac:dyDescent="0.55000000000000004">
      <c r="D25" s="10"/>
      <c r="I25" s="1">
        <v>50320.23</v>
      </c>
      <c r="J25" s="1">
        <v>0</v>
      </c>
    </row>
    <row r="27" spans="1:10" x14ac:dyDescent="0.55000000000000004">
      <c r="E27" s="1" t="s">
        <v>55</v>
      </c>
      <c r="I27" s="1" t="s">
        <v>33</v>
      </c>
      <c r="J27" s="1" t="s">
        <v>31</v>
      </c>
    </row>
    <row r="28" spans="1:10" x14ac:dyDescent="0.55000000000000004">
      <c r="E28" s="1" t="s">
        <v>56</v>
      </c>
      <c r="I28" s="21" t="s">
        <v>32</v>
      </c>
      <c r="J28" s="1">
        <v>65</v>
      </c>
    </row>
  </sheetData>
  <dataValidations disablePrompts="1" count="1">
    <dataValidation type="list" allowBlank="1" showInputMessage="1" showErrorMessage="1" sqref="E7" xr:uid="{5E6ED709-6790-4981-B8AD-0D24E8518E52}">
      <formula1>$E$27:$E$28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09CB1-7915-443D-A915-5D08D3DEF686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4691A-5374-4437-8563-76B5628374DE}">
  <dimension ref="A1:A11"/>
  <sheetViews>
    <sheetView workbookViewId="0">
      <selection activeCell="A12" sqref="A12"/>
    </sheetView>
  </sheetViews>
  <sheetFormatPr defaultRowHeight="14.4" x14ac:dyDescent="0.55000000000000004"/>
  <cols>
    <col min="1" max="1" width="132.5234375" bestFit="1" customWidth="1"/>
  </cols>
  <sheetData>
    <row r="1" spans="1:1" x14ac:dyDescent="0.55000000000000004">
      <c r="A1" t="s">
        <v>121</v>
      </c>
    </row>
    <row r="2" spans="1:1" x14ac:dyDescent="0.55000000000000004">
      <c r="A2" s="90" t="s">
        <v>116</v>
      </c>
    </row>
    <row r="3" spans="1:1" x14ac:dyDescent="0.55000000000000004">
      <c r="A3" t="s">
        <v>117</v>
      </c>
    </row>
    <row r="4" spans="1:1" x14ac:dyDescent="0.55000000000000004">
      <c r="A4" t="s">
        <v>118</v>
      </c>
    </row>
    <row r="5" spans="1:1" x14ac:dyDescent="0.55000000000000004">
      <c r="A5" t="s">
        <v>119</v>
      </c>
    </row>
    <row r="6" spans="1:1" x14ac:dyDescent="0.55000000000000004">
      <c r="A6" t="s">
        <v>120</v>
      </c>
    </row>
    <row r="7" spans="1:1" x14ac:dyDescent="0.55000000000000004">
      <c r="A7" t="s">
        <v>122</v>
      </c>
    </row>
    <row r="8" spans="1:1" x14ac:dyDescent="0.55000000000000004">
      <c r="A8" t="s">
        <v>123</v>
      </c>
    </row>
    <row r="9" spans="1:1" x14ac:dyDescent="0.55000000000000004">
      <c r="A9" t="s">
        <v>124</v>
      </c>
    </row>
    <row r="10" spans="1:1" x14ac:dyDescent="0.55000000000000004">
      <c r="A10" t="s">
        <v>125</v>
      </c>
    </row>
    <row r="11" spans="1:1" x14ac:dyDescent="0.55000000000000004">
      <c r="A11" t="s">
        <v>126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DE61F-C4D1-4575-A9AB-CA086CEE4144}">
  <dimension ref="A1:L28"/>
  <sheetViews>
    <sheetView topLeftCell="B1" workbookViewId="0">
      <selection activeCell="F20" sqref="F20"/>
    </sheetView>
  </sheetViews>
  <sheetFormatPr defaultColWidth="8.89453125" defaultRowHeight="17.399999999999999" x14ac:dyDescent="0.55000000000000004"/>
  <cols>
    <col min="1" max="1" width="15.41796875" style="1" customWidth="1"/>
    <col min="2" max="2" width="50.3125" style="1" bestFit="1" customWidth="1"/>
    <col min="3" max="3" width="18.1015625" style="1" bestFit="1" customWidth="1"/>
    <col min="4" max="4" width="12.1015625" style="1" bestFit="1" customWidth="1"/>
    <col min="5" max="5" width="45.20703125" style="1" customWidth="1"/>
    <col min="6" max="6" width="15.20703125" style="1" customWidth="1"/>
    <col min="7" max="7" width="11.89453125" style="1" customWidth="1"/>
    <col min="8" max="8" width="9.1015625" style="1" customWidth="1"/>
    <col min="9" max="9" width="22" style="1" customWidth="1"/>
    <col min="10" max="10" width="21.7890625" style="1" customWidth="1"/>
    <col min="11" max="11" width="14" style="1" customWidth="1"/>
    <col min="12" max="12" width="13.41796875" style="1" customWidth="1"/>
    <col min="13" max="13" width="8.89453125" style="1" customWidth="1"/>
    <col min="14" max="16384" width="8.89453125" style="1"/>
  </cols>
  <sheetData>
    <row r="1" spans="1:12" x14ac:dyDescent="0.55000000000000004">
      <c r="C1" s="4"/>
    </row>
    <row r="2" spans="1:12" ht="17.7" x14ac:dyDescent="0.6">
      <c r="A2" s="1" t="s">
        <v>24</v>
      </c>
      <c r="B2" s="1" t="s">
        <v>25</v>
      </c>
      <c r="C2" s="10"/>
      <c r="E2" s="22" t="s">
        <v>46</v>
      </c>
      <c r="F2" s="23">
        <v>5165</v>
      </c>
      <c r="H2" s="32"/>
      <c r="I2" s="33" t="s">
        <v>26</v>
      </c>
      <c r="J2" s="33" t="s">
        <v>17</v>
      </c>
      <c r="K2" s="34"/>
    </row>
    <row r="3" spans="1:12" ht="17.7" x14ac:dyDescent="0.6">
      <c r="A3" s="1" t="s">
        <v>2</v>
      </c>
      <c r="B3" s="22" t="s">
        <v>40</v>
      </c>
      <c r="C3" s="48">
        <v>50000</v>
      </c>
      <c r="D3" s="2"/>
      <c r="E3" s="30" t="s">
        <v>42</v>
      </c>
      <c r="F3" s="31">
        <f>C3*0.0155</f>
        <v>775</v>
      </c>
      <c r="H3" s="35">
        <f>15000*J3</f>
        <v>3450</v>
      </c>
      <c r="I3" s="1" t="s">
        <v>7</v>
      </c>
      <c r="J3" s="36">
        <v>0.23</v>
      </c>
      <c r="K3" s="37"/>
    </row>
    <row r="4" spans="1:12" ht="17.7" x14ac:dyDescent="0.6">
      <c r="B4" s="5" t="s">
        <v>51</v>
      </c>
      <c r="C4" s="6">
        <f>C3*0.06907</f>
        <v>3453.5000000000005</v>
      </c>
      <c r="D4" s="2"/>
      <c r="E4" s="22" t="s">
        <v>47</v>
      </c>
      <c r="F4" s="23">
        <f>F2-F3</f>
        <v>4390</v>
      </c>
      <c r="G4" s="4">
        <f>F4/C3</f>
        <v>8.7800000000000003E-2</v>
      </c>
      <c r="H4" s="35">
        <f>13000*J4</f>
        <v>3250</v>
      </c>
      <c r="I4" s="1" t="s">
        <v>8</v>
      </c>
      <c r="J4" s="36">
        <v>0.25</v>
      </c>
      <c r="K4" s="37"/>
    </row>
    <row r="5" spans="1:12" ht="17.7" x14ac:dyDescent="0.6">
      <c r="A5" s="1" t="s">
        <v>3</v>
      </c>
      <c r="B5" s="7" t="s">
        <v>0</v>
      </c>
      <c r="C5" s="8">
        <f>C3*D5</f>
        <v>4595</v>
      </c>
      <c r="D5" s="24">
        <v>9.1899999999999996E-2</v>
      </c>
      <c r="E5" s="22" t="s">
        <v>45</v>
      </c>
      <c r="F5" s="23">
        <f>F4-F7</f>
        <v>0</v>
      </c>
      <c r="H5" s="35">
        <f>(50000-28000)*J5</f>
        <v>7699.9999999999991</v>
      </c>
      <c r="I5" s="1" t="s">
        <v>9</v>
      </c>
      <c r="J5" s="36">
        <v>0.35</v>
      </c>
      <c r="K5" s="37"/>
    </row>
    <row r="6" spans="1:12" ht="18" thickBot="1" x14ac:dyDescent="0.65">
      <c r="A6" s="1" t="s">
        <v>4</v>
      </c>
      <c r="B6" s="7" t="s">
        <v>1</v>
      </c>
      <c r="C6" s="8">
        <f>IF(C3&gt;48279,(C3-48279)*0.01,0)</f>
        <v>17.21</v>
      </c>
      <c r="D6" s="9"/>
      <c r="E6" s="1" t="s">
        <v>49</v>
      </c>
      <c r="F6" s="79">
        <v>4115</v>
      </c>
      <c r="H6" s="38"/>
      <c r="I6" s="39" t="s">
        <v>10</v>
      </c>
      <c r="J6" s="40">
        <v>0.43</v>
      </c>
      <c r="K6" s="41"/>
      <c r="L6" s="10"/>
    </row>
    <row r="7" spans="1:12" ht="17.7" x14ac:dyDescent="0.6">
      <c r="B7" s="7" t="s">
        <v>21</v>
      </c>
      <c r="C7" s="11">
        <f>C5+C6</f>
        <v>4612.21</v>
      </c>
      <c r="D7" s="12"/>
      <c r="E7" s="13" t="s">
        <v>48</v>
      </c>
      <c r="F7" s="14">
        <f>C3*G7+F6</f>
        <v>4390</v>
      </c>
      <c r="G7" s="80">
        <v>5.4999999999999997E-3</v>
      </c>
      <c r="K7" s="4"/>
    </row>
    <row r="8" spans="1:12" ht="17.7" x14ac:dyDescent="0.6">
      <c r="A8" s="1" t="s">
        <v>6</v>
      </c>
      <c r="B8" s="15" t="s">
        <v>5</v>
      </c>
      <c r="C8" s="16">
        <f>C3-C7</f>
        <v>45387.79</v>
      </c>
      <c r="D8" s="10"/>
      <c r="E8" s="25">
        <f>C8-F7</f>
        <v>40997.79</v>
      </c>
      <c r="F8" s="19">
        <f>C8-E8</f>
        <v>4390</v>
      </c>
      <c r="L8" s="4"/>
    </row>
    <row r="9" spans="1:12" ht="17.7" x14ac:dyDescent="0.6">
      <c r="A9" s="1" t="s">
        <v>12</v>
      </c>
      <c r="B9" s="15" t="s">
        <v>11</v>
      </c>
      <c r="C9" s="16">
        <f>IF(C8&gt;50000,(H3+H4+H5+(C8-50000)*J6),IF(C8&gt;28000,H3+H4+(C8-28000)*J5,IF(C8&gt;15000,H3+(C8-15000)*J4,C8*J3)))</f>
        <v>12785.726500000001</v>
      </c>
      <c r="D9" s="10"/>
      <c r="E9" s="25">
        <f>IF(E8&gt;50000,(H3+H4+H5+(E8-50000)*J6),IF(E8&gt;28000,H3+H4+(E8-28000)*J5,IF(E8&gt;15000,H3+(E8-15000)*J4,E8*J3)))</f>
        <v>11249.226500000001</v>
      </c>
      <c r="F9" s="19">
        <f>C9-E9</f>
        <v>1536.5</v>
      </c>
      <c r="L9" s="4"/>
    </row>
    <row r="10" spans="1:12" ht="17.7" x14ac:dyDescent="0.6">
      <c r="A10" s="1" t="s">
        <v>13</v>
      </c>
      <c r="B10" s="15" t="s">
        <v>14</v>
      </c>
      <c r="C10" s="16">
        <f>IF(C8&gt;50000,(H11+H12+H13+(C8-50000)*J14),IF(C8&gt;28000,H11+H12+(C8-28000)*J13,IF(C8&gt;15000,H11+(C8-15000)*J12,C8*J11)))</f>
        <v>688.96998800000006</v>
      </c>
      <c r="D10" s="10"/>
      <c r="E10" s="25">
        <f>IF(E8&gt;50000,(H11+H12+H13+(E8-50000)*J14),IF(E8&gt;28000,H11+H12+(E8-28000)*J13,IF(E8&gt;15000,H11+(E8-15000)*J12,E8*J11)))</f>
        <v>613.46198800000002</v>
      </c>
      <c r="F10" s="19">
        <f t="shared" ref="F10:F11" si="0">C10-E10</f>
        <v>75.508000000000038</v>
      </c>
      <c r="H10" s="32"/>
      <c r="I10" s="33" t="s">
        <v>26</v>
      </c>
      <c r="J10" s="33" t="s">
        <v>35</v>
      </c>
      <c r="K10" s="34"/>
    </row>
    <row r="11" spans="1:12" ht="17.7" x14ac:dyDescent="0.6">
      <c r="A11" s="1" t="s">
        <v>15</v>
      </c>
      <c r="B11" s="15" t="s">
        <v>16</v>
      </c>
      <c r="C11" s="16">
        <f>IF(C8&gt;23000,C8*J18,0)</f>
        <v>363.10232000000002</v>
      </c>
      <c r="D11" s="10"/>
      <c r="E11" s="25">
        <f>IF(E8&gt;23000,E8*J18,0)</f>
        <v>327.98232000000002</v>
      </c>
      <c r="F11" s="19">
        <f t="shared" si="0"/>
        <v>35.120000000000005</v>
      </c>
      <c r="H11" s="35">
        <f>15000*J11</f>
        <v>184.5</v>
      </c>
      <c r="I11" s="1" t="s">
        <v>7</v>
      </c>
      <c r="J11" s="42">
        <v>1.23E-2</v>
      </c>
      <c r="K11" s="43"/>
    </row>
    <row r="12" spans="1:12" ht="17.7" x14ac:dyDescent="0.6">
      <c r="B12" s="15" t="s">
        <v>27</v>
      </c>
      <c r="C12" s="16">
        <f>C9+C10+C11</f>
        <v>13837.798808000001</v>
      </c>
      <c r="D12" s="10"/>
      <c r="E12" s="25">
        <f>E9+E10+E11</f>
        <v>12190.670807999999</v>
      </c>
      <c r="F12" s="19">
        <f>C12-E12</f>
        <v>1647.1280000000024</v>
      </c>
      <c r="H12" s="35">
        <f>13000*J12</f>
        <v>205.40000000000003</v>
      </c>
      <c r="I12" s="1" t="s">
        <v>8</v>
      </c>
      <c r="J12" s="42">
        <v>1.5800000000000002E-2</v>
      </c>
      <c r="K12" s="43"/>
    </row>
    <row r="13" spans="1:12" x14ac:dyDescent="0.55000000000000004">
      <c r="A13" s="1" t="s">
        <v>20</v>
      </c>
      <c r="B13" s="1" t="s">
        <v>22</v>
      </c>
      <c r="C13" s="10">
        <f>IF(C8&gt;50000,0,IF(C8&gt;28000,1910*(50000-C8)/22000,IF(C8&gt;15000,1910+1190*(28000-C8)/13000,J21)))</f>
        <v>400.42368636363625</v>
      </c>
      <c r="D13" s="10"/>
      <c r="E13" s="17">
        <f>IF(E8&gt;50000,0,IF(E8&gt;28000,1910*(50000-E8)/22000,IF(E8&gt;15000,1910+1190*(28000-E8)/13000,J21)))</f>
        <v>781.55550454545448</v>
      </c>
      <c r="F13" s="19">
        <f>E13-C13</f>
        <v>381.13181818181823</v>
      </c>
      <c r="H13" s="35">
        <f>22000*J13</f>
        <v>378.4</v>
      </c>
      <c r="I13" s="1" t="s">
        <v>9</v>
      </c>
      <c r="J13" s="42">
        <v>1.72E-2</v>
      </c>
      <c r="K13" s="43"/>
    </row>
    <row r="14" spans="1:12" x14ac:dyDescent="0.55000000000000004">
      <c r="A14" s="1" t="s">
        <v>23</v>
      </c>
      <c r="B14" s="1" t="s">
        <v>30</v>
      </c>
      <c r="C14" s="10">
        <f>IF(AND(C8&gt;25000,C8&lt;=35000),65,0)</f>
        <v>0</v>
      </c>
      <c r="D14" s="10"/>
      <c r="E14" s="17">
        <f>IF(AND(E8&gt;25000,E8&lt;=35000),65,0)</f>
        <v>0</v>
      </c>
      <c r="F14" s="19"/>
      <c r="H14" s="38"/>
      <c r="I14" s="39" t="s">
        <v>10</v>
      </c>
      <c r="J14" s="44">
        <v>1.7299999999999999E-2</v>
      </c>
      <c r="K14" s="45"/>
    </row>
    <row r="15" spans="1:12" x14ac:dyDescent="0.55000000000000004">
      <c r="A15" s="1" t="s">
        <v>37</v>
      </c>
      <c r="B15" s="1" t="s">
        <v>38</v>
      </c>
      <c r="C15" s="10">
        <f>C8-C9-C10-C11+C13+C14</f>
        <v>31950.414878363634</v>
      </c>
      <c r="D15" s="10"/>
      <c r="E15" s="17">
        <f>E8-E12+E13+E14</f>
        <v>29588.674696545455</v>
      </c>
      <c r="F15" s="19">
        <f>C15-E15</f>
        <v>2361.7401818181788</v>
      </c>
    </row>
    <row r="16" spans="1:12" x14ac:dyDescent="0.55000000000000004">
      <c r="E16" s="17"/>
      <c r="F16" s="18"/>
      <c r="H16" s="32"/>
      <c r="I16" s="33" t="s">
        <v>33</v>
      </c>
      <c r="J16" s="33" t="s">
        <v>36</v>
      </c>
      <c r="K16" s="34"/>
    </row>
    <row r="17" spans="1:12" x14ac:dyDescent="0.55000000000000004">
      <c r="A17" s="1">
        <v>13</v>
      </c>
      <c r="B17" s="1" t="s">
        <v>43</v>
      </c>
      <c r="C17" s="10">
        <f>C15/A17</f>
        <v>2457.7242214125872</v>
      </c>
      <c r="E17" s="17">
        <f>E15/A17</f>
        <v>2276.0518997342656</v>
      </c>
      <c r="F17" s="19">
        <f>C17-E17</f>
        <v>181.67232167832162</v>
      </c>
      <c r="H17" s="35"/>
      <c r="I17" s="1" t="s">
        <v>18</v>
      </c>
      <c r="J17" s="42">
        <v>0</v>
      </c>
      <c r="K17" s="43"/>
    </row>
    <row r="18" spans="1:12" ht="17.7" thickBot="1" x14ac:dyDescent="0.6">
      <c r="A18" s="1">
        <v>14</v>
      </c>
      <c r="B18" s="1" t="s">
        <v>44</v>
      </c>
      <c r="C18" s="10">
        <f>C15/A18</f>
        <v>2282.1724913116882</v>
      </c>
      <c r="E18" s="20">
        <f>E15/A18</f>
        <v>2113.4767640389609</v>
      </c>
      <c r="F18" s="29">
        <f>C18-E18</f>
        <v>168.69572727272725</v>
      </c>
      <c r="H18" s="38"/>
      <c r="I18" s="39" t="s">
        <v>19</v>
      </c>
      <c r="J18" s="44">
        <v>8.0000000000000002E-3</v>
      </c>
      <c r="K18" s="45"/>
    </row>
    <row r="19" spans="1:12" ht="17.7" thickBot="1" x14ac:dyDescent="0.6"/>
    <row r="20" spans="1:12" x14ac:dyDescent="0.55000000000000004">
      <c r="E20" s="26" t="s">
        <v>39</v>
      </c>
      <c r="F20" s="27">
        <f>C15-E15</f>
        <v>2361.7401818181788</v>
      </c>
      <c r="H20" s="32"/>
      <c r="I20" s="33" t="s">
        <v>33</v>
      </c>
      <c r="J20" s="33" t="s">
        <v>28</v>
      </c>
      <c r="K20" s="33"/>
      <c r="L20" s="34"/>
    </row>
    <row r="21" spans="1:12" ht="17.7" thickBot="1" x14ac:dyDescent="0.6">
      <c r="E21" s="28" t="s">
        <v>52</v>
      </c>
      <c r="F21" s="29">
        <f>F7+F3</f>
        <v>5165</v>
      </c>
      <c r="H21" s="35"/>
      <c r="I21" s="1" t="s">
        <v>7</v>
      </c>
      <c r="J21" s="1">
        <v>1880</v>
      </c>
      <c r="L21" s="43"/>
    </row>
    <row r="22" spans="1:12" x14ac:dyDescent="0.55000000000000004">
      <c r="C22" s="9"/>
      <c r="F22" s="10"/>
      <c r="H22" s="35"/>
      <c r="I22" s="1" t="s">
        <v>8</v>
      </c>
      <c r="J22" s="1" t="s">
        <v>29</v>
      </c>
      <c r="L22" s="43"/>
    </row>
    <row r="23" spans="1:12" x14ac:dyDescent="0.55000000000000004">
      <c r="C23" s="3"/>
      <c r="D23" s="10"/>
      <c r="G23" s="10"/>
      <c r="H23" s="35"/>
      <c r="I23" s="1" t="s">
        <v>9</v>
      </c>
      <c r="J23" s="1" t="s">
        <v>34</v>
      </c>
      <c r="L23" s="43"/>
    </row>
    <row r="24" spans="1:12" x14ac:dyDescent="0.55000000000000004">
      <c r="C24" s="74"/>
      <c r="D24" s="10"/>
      <c r="H24" s="38"/>
      <c r="I24" s="39" t="s">
        <v>10</v>
      </c>
      <c r="J24" s="39">
        <v>0</v>
      </c>
      <c r="K24" s="39"/>
      <c r="L24" s="45"/>
    </row>
    <row r="26" spans="1:12" x14ac:dyDescent="0.55000000000000004">
      <c r="H26" s="32"/>
      <c r="I26" s="33" t="s">
        <v>33</v>
      </c>
      <c r="J26" s="33" t="s">
        <v>31</v>
      </c>
      <c r="K26" s="34"/>
    </row>
    <row r="27" spans="1:12" x14ac:dyDescent="0.55000000000000004">
      <c r="F27" s="10"/>
      <c r="H27" s="38"/>
      <c r="I27" s="46" t="s">
        <v>32</v>
      </c>
      <c r="J27" s="39">
        <v>65</v>
      </c>
      <c r="K27" s="45"/>
    </row>
    <row r="28" spans="1:12" x14ac:dyDescent="0.55000000000000004">
      <c r="F28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25645-A3CF-4F63-A543-469A51D43964}">
  <dimension ref="A1:L28"/>
  <sheetViews>
    <sheetView topLeftCell="A9" workbookViewId="0">
      <selection activeCell="C22" sqref="C22"/>
    </sheetView>
  </sheetViews>
  <sheetFormatPr defaultColWidth="8.89453125" defaultRowHeight="17.399999999999999" x14ac:dyDescent="0.55000000000000004"/>
  <cols>
    <col min="1" max="1" width="15.41796875" style="1" customWidth="1"/>
    <col min="2" max="2" width="50.3125" style="1" bestFit="1" customWidth="1"/>
    <col min="3" max="3" width="18.1015625" style="1" bestFit="1" customWidth="1"/>
    <col min="4" max="4" width="13" style="1" bestFit="1" customWidth="1"/>
    <col min="5" max="5" width="45.20703125" style="1" customWidth="1"/>
    <col min="6" max="6" width="15.20703125" style="1" customWidth="1"/>
    <col min="7" max="7" width="14.20703125" style="1" bestFit="1" customWidth="1"/>
    <col min="8" max="8" width="9.1015625" style="1" customWidth="1"/>
    <col min="9" max="9" width="22" style="1" customWidth="1"/>
    <col min="10" max="10" width="21.7890625" style="1" customWidth="1"/>
    <col min="11" max="11" width="14" style="1" customWidth="1"/>
    <col min="12" max="12" width="13.41796875" style="1" customWidth="1"/>
    <col min="13" max="13" width="8.89453125" style="1" customWidth="1"/>
    <col min="14" max="16384" width="8.89453125" style="1"/>
  </cols>
  <sheetData>
    <row r="1" spans="1:12" x14ac:dyDescent="0.55000000000000004">
      <c r="C1" s="4"/>
    </row>
    <row r="2" spans="1:12" ht="17.7" x14ac:dyDescent="0.6">
      <c r="A2" s="1" t="s">
        <v>24</v>
      </c>
      <c r="B2" s="1" t="s">
        <v>25</v>
      </c>
      <c r="C2" s="10"/>
      <c r="E2" s="22" t="s">
        <v>46</v>
      </c>
      <c r="F2" s="23">
        <v>5165</v>
      </c>
      <c r="G2" s="10"/>
      <c r="H2" s="32"/>
      <c r="I2" s="33" t="s">
        <v>26</v>
      </c>
      <c r="J2" s="33" t="s">
        <v>17</v>
      </c>
      <c r="K2" s="34"/>
    </row>
    <row r="3" spans="1:12" ht="17.7" x14ac:dyDescent="0.6">
      <c r="A3" s="1" t="s">
        <v>2</v>
      </c>
      <c r="B3" s="22" t="s">
        <v>40</v>
      </c>
      <c r="C3" s="48">
        <v>50000</v>
      </c>
      <c r="D3" s="2"/>
      <c r="E3" s="30" t="s">
        <v>106</v>
      </c>
      <c r="F3" s="31">
        <f>D23</f>
        <v>644.75059999999996</v>
      </c>
      <c r="H3" s="35">
        <f>15000*J3</f>
        <v>3450</v>
      </c>
      <c r="I3" s="1" t="s">
        <v>7</v>
      </c>
      <c r="J3" s="36">
        <v>0.23</v>
      </c>
      <c r="K3" s="37"/>
    </row>
    <row r="4" spans="1:12" ht="17.7" x14ac:dyDescent="0.6">
      <c r="B4" s="5" t="s">
        <v>51</v>
      </c>
      <c r="C4" s="6">
        <f>C3*0.06907</f>
        <v>3453.5000000000005</v>
      </c>
      <c r="D4" s="2"/>
      <c r="E4" s="22" t="s">
        <v>47</v>
      </c>
      <c r="F4" s="23">
        <f>F2-F3</f>
        <v>4520.2493999999997</v>
      </c>
      <c r="G4" s="83">
        <f>F4/C3</f>
        <v>9.0404987999999992E-2</v>
      </c>
      <c r="H4" s="35">
        <f>13000*J4</f>
        <v>3250</v>
      </c>
      <c r="I4" s="1" t="s">
        <v>8</v>
      </c>
      <c r="J4" s="36">
        <v>0.25</v>
      </c>
      <c r="K4" s="37"/>
    </row>
    <row r="5" spans="1:12" ht="17.7" x14ac:dyDescent="0.6">
      <c r="A5" s="1" t="s">
        <v>3</v>
      </c>
      <c r="B5" s="7" t="s">
        <v>0</v>
      </c>
      <c r="C5" s="8">
        <f>C3*D5</f>
        <v>4595</v>
      </c>
      <c r="D5" s="24">
        <v>9.1899999999999996E-2</v>
      </c>
      <c r="E5" s="22" t="s">
        <v>45</v>
      </c>
      <c r="F5" s="23">
        <f>F4-F7</f>
        <v>4133.3990399999993</v>
      </c>
      <c r="H5" s="35">
        <f>(50000-28000)*J5</f>
        <v>7699.9999999999991</v>
      </c>
      <c r="I5" s="1" t="s">
        <v>9</v>
      </c>
      <c r="J5" s="36">
        <v>0.35</v>
      </c>
      <c r="K5" s="37"/>
    </row>
    <row r="6" spans="1:12" ht="18" thickBot="1" x14ac:dyDescent="0.65">
      <c r="A6" s="1" t="s">
        <v>4</v>
      </c>
      <c r="B6" s="7" t="s">
        <v>1</v>
      </c>
      <c r="C6" s="8">
        <f>IF(C3&gt;48279,(C3-48279)*0.01,0)</f>
        <v>17.21</v>
      </c>
      <c r="D6" s="9"/>
      <c r="E6" s="1" t="s">
        <v>49</v>
      </c>
      <c r="F6" s="79">
        <v>0</v>
      </c>
      <c r="G6" s="4"/>
      <c r="H6" s="38"/>
      <c r="I6" s="39" t="s">
        <v>10</v>
      </c>
      <c r="J6" s="40">
        <v>0.43</v>
      </c>
      <c r="K6" s="41"/>
      <c r="L6" s="10"/>
    </row>
    <row r="7" spans="1:12" ht="17.7" x14ac:dyDescent="0.6">
      <c r="B7" s="7" t="s">
        <v>21</v>
      </c>
      <c r="C7" s="11">
        <f>C5+C6</f>
        <v>4612.21</v>
      </c>
      <c r="D7" s="12"/>
      <c r="E7" s="82" t="s">
        <v>105</v>
      </c>
      <c r="F7" s="14">
        <f>D24+F6</f>
        <v>386.85035999999997</v>
      </c>
      <c r="K7" s="4"/>
    </row>
    <row r="8" spans="1:12" ht="17.7" x14ac:dyDescent="0.6">
      <c r="A8" s="1" t="s">
        <v>6</v>
      </c>
      <c r="B8" s="15" t="s">
        <v>5</v>
      </c>
      <c r="C8" s="16">
        <f>C3-C7</f>
        <v>45387.79</v>
      </c>
      <c r="D8" s="10"/>
      <c r="E8" s="25">
        <f>C8-F7</f>
        <v>45000.939640000004</v>
      </c>
      <c r="F8" s="19">
        <f>C8-E8</f>
        <v>386.85035999999673</v>
      </c>
      <c r="L8" s="4"/>
    </row>
    <row r="9" spans="1:12" ht="17.7" x14ac:dyDescent="0.6">
      <c r="A9" s="1" t="s">
        <v>12</v>
      </c>
      <c r="B9" s="15" t="s">
        <v>11</v>
      </c>
      <c r="C9" s="16">
        <f>IF(C8&gt;50000,(H3+H4+H5+(C8-50000)*J6),IF(C8&gt;28000,H3+H4+(C8-28000)*J5,IF(C8&gt;15000,H3+(C8-15000)*J4,C8*J3)))</f>
        <v>12785.726500000001</v>
      </c>
      <c r="D9" s="10"/>
      <c r="E9" s="25">
        <f>IF(E8&gt;50000,(H3+H4+H5+(E8-50000)*J6),IF(E8&gt;28000,H3+H4+(E8-28000)*J5,IF(E8&gt;15000,H3+(E8-15000)*J4,E8*J3)))</f>
        <v>12650.328874000001</v>
      </c>
      <c r="F9" s="19">
        <f>C9-E9</f>
        <v>135.39762599999995</v>
      </c>
      <c r="L9" s="4"/>
    </row>
    <row r="10" spans="1:12" ht="17.7" x14ac:dyDescent="0.6">
      <c r="A10" s="1" t="s">
        <v>13</v>
      </c>
      <c r="B10" s="15" t="s">
        <v>14</v>
      </c>
      <c r="C10" s="16">
        <f>IF(C8&gt;50000,(H11+H12+H13+(C8-50000)*J14),IF(C8&gt;28000,H11+H12+(C8-28000)*J13,IF(C8&gt;15000,H11+(C8-15000)*J12,C8*J11)))</f>
        <v>688.96998800000006</v>
      </c>
      <c r="D10" s="10"/>
      <c r="E10" s="25">
        <f>IF(E8&gt;50000,(H11+H12+H13+(E8-50000)*J14),IF(E8&gt;28000,H11+H12+(E8-28000)*J13,IF(E8&gt;15000,H11+(E8-15000)*J12,E8*J11)))</f>
        <v>682.31616180800006</v>
      </c>
      <c r="F10" s="19">
        <f t="shared" ref="F10:F11" si="0">C10-E10</f>
        <v>6.6538261919999968</v>
      </c>
      <c r="H10" s="32"/>
      <c r="I10" s="33" t="s">
        <v>26</v>
      </c>
      <c r="J10" s="33" t="s">
        <v>35</v>
      </c>
      <c r="K10" s="34"/>
    </row>
    <row r="11" spans="1:12" ht="17.7" x14ac:dyDescent="0.6">
      <c r="A11" s="1" t="s">
        <v>15</v>
      </c>
      <c r="B11" s="15" t="s">
        <v>16</v>
      </c>
      <c r="C11" s="16">
        <f>IF(C8&gt;23000,C8*J18,0)</f>
        <v>363.10232000000002</v>
      </c>
      <c r="D11" s="10"/>
      <c r="E11" s="25">
        <f>IF(E8&gt;23000,E8*J18,0)</f>
        <v>360.00751712000005</v>
      </c>
      <c r="F11" s="19">
        <f t="shared" si="0"/>
        <v>3.0948028799999747</v>
      </c>
      <c r="H11" s="35">
        <f>15000*J11</f>
        <v>184.5</v>
      </c>
      <c r="I11" s="1" t="s">
        <v>7</v>
      </c>
      <c r="J11" s="42">
        <v>1.23E-2</v>
      </c>
      <c r="K11" s="43"/>
    </row>
    <row r="12" spans="1:12" ht="17.7" x14ac:dyDescent="0.6">
      <c r="B12" s="15" t="s">
        <v>27</v>
      </c>
      <c r="C12" s="16">
        <f>C9+C10+C11</f>
        <v>13837.798808000001</v>
      </c>
      <c r="D12" s="10"/>
      <c r="E12" s="25">
        <f>E9+E10+E11</f>
        <v>13692.652552928001</v>
      </c>
      <c r="F12" s="19">
        <f>C12-E12</f>
        <v>145.14625507200071</v>
      </c>
      <c r="H12" s="35">
        <f>13000*J12</f>
        <v>205.40000000000003</v>
      </c>
      <c r="I12" s="1" t="s">
        <v>8</v>
      </c>
      <c r="J12" s="42">
        <v>1.5800000000000002E-2</v>
      </c>
      <c r="K12" s="43"/>
    </row>
    <row r="13" spans="1:12" x14ac:dyDescent="0.55000000000000004">
      <c r="A13" s="1" t="s">
        <v>20</v>
      </c>
      <c r="B13" s="1" t="s">
        <v>22</v>
      </c>
      <c r="C13" s="10">
        <f>IF(C8&gt;50000,0,IF(C8&gt;28000,1910*(50000-C8)/22000,IF(C8&gt;15000,1910+1190*(28000-C8)/13000,J21)))</f>
        <v>400.42368636363625</v>
      </c>
      <c r="D13" s="10"/>
      <c r="E13" s="17">
        <f>IF(E8&gt;50000,0,IF(E8&gt;28000,1910*(50000-E8)/22000,IF(E8&gt;15000,1910+1190*(28000-E8)/13000,J21)))</f>
        <v>434.00933125454509</v>
      </c>
      <c r="F13" s="19">
        <f>E13-C13</f>
        <v>33.585644890908839</v>
      </c>
      <c r="H13" s="35">
        <f>22000*J13</f>
        <v>378.4</v>
      </c>
      <c r="I13" s="1" t="s">
        <v>9</v>
      </c>
      <c r="J13" s="42">
        <v>1.72E-2</v>
      </c>
      <c r="K13" s="43"/>
    </row>
    <row r="14" spans="1:12" x14ac:dyDescent="0.55000000000000004">
      <c r="A14" s="1" t="s">
        <v>23</v>
      </c>
      <c r="B14" s="1" t="s">
        <v>30</v>
      </c>
      <c r="C14" s="10">
        <f>IF(AND(C8&gt;25000,C8&lt;=35000),65,0)</f>
        <v>0</v>
      </c>
      <c r="D14" s="10"/>
      <c r="E14" s="17">
        <f>IF(AND(E8&gt;25000,E8&lt;=35000),65,0)</f>
        <v>0</v>
      </c>
      <c r="F14" s="19"/>
      <c r="H14" s="38"/>
      <c r="I14" s="39" t="s">
        <v>10</v>
      </c>
      <c r="J14" s="44">
        <v>1.7299999999999999E-2</v>
      </c>
      <c r="K14" s="45"/>
    </row>
    <row r="15" spans="1:12" x14ac:dyDescent="0.55000000000000004">
      <c r="A15" s="1" t="s">
        <v>37</v>
      </c>
      <c r="B15" s="1" t="s">
        <v>38</v>
      </c>
      <c r="C15" s="10">
        <f>C8-C9-C10-C11+C13+C14</f>
        <v>31950.414878363634</v>
      </c>
      <c r="D15" s="10"/>
      <c r="E15" s="17">
        <f>E8-E12+E13+E14</f>
        <v>31742.29641832655</v>
      </c>
      <c r="F15" s="19">
        <f>C15-E15</f>
        <v>208.11846003708342</v>
      </c>
    </row>
    <row r="16" spans="1:12" x14ac:dyDescent="0.55000000000000004">
      <c r="E16" s="17"/>
      <c r="F16" s="18"/>
      <c r="H16" s="32"/>
      <c r="I16" s="33" t="s">
        <v>33</v>
      </c>
      <c r="J16" s="33" t="s">
        <v>36</v>
      </c>
      <c r="K16" s="34"/>
    </row>
    <row r="17" spans="1:12" x14ac:dyDescent="0.55000000000000004">
      <c r="A17" s="1">
        <v>13</v>
      </c>
      <c r="B17" s="1" t="s">
        <v>43</v>
      </c>
      <c r="C17" s="10">
        <f>C15/A17</f>
        <v>2457.7242214125872</v>
      </c>
      <c r="E17" s="17">
        <f>E15/A17</f>
        <v>2441.7151091020423</v>
      </c>
      <c r="F17" s="19">
        <f>C17-E17</f>
        <v>16.009112310544879</v>
      </c>
      <c r="H17" s="35"/>
      <c r="I17" s="1" t="s">
        <v>18</v>
      </c>
      <c r="J17" s="42">
        <v>0</v>
      </c>
      <c r="K17" s="43"/>
    </row>
    <row r="18" spans="1:12" ht="17.7" thickBot="1" x14ac:dyDescent="0.6">
      <c r="A18" s="1">
        <v>14</v>
      </c>
      <c r="B18" s="1" t="s">
        <v>44</v>
      </c>
      <c r="C18" s="10">
        <f>C15/A18</f>
        <v>2282.1724913116882</v>
      </c>
      <c r="E18" s="20">
        <f>E15/A18</f>
        <v>2267.3068870233251</v>
      </c>
      <c r="F18" s="29">
        <f>C18-E18</f>
        <v>14.865604288363102</v>
      </c>
      <c r="H18" s="38"/>
      <c r="I18" s="39" t="s">
        <v>19</v>
      </c>
      <c r="J18" s="44">
        <v>8.0000000000000002E-3</v>
      </c>
      <c r="K18" s="45"/>
    </row>
    <row r="19" spans="1:12" ht="17.7" thickBot="1" x14ac:dyDescent="0.6"/>
    <row r="20" spans="1:12" x14ac:dyDescent="0.55000000000000004">
      <c r="E20" s="26" t="s">
        <v>39</v>
      </c>
      <c r="F20" s="27">
        <f>C15-E15</f>
        <v>208.11846003708342</v>
      </c>
      <c r="H20" s="32"/>
      <c r="I20" s="33" t="s">
        <v>33</v>
      </c>
      <c r="J20" s="33" t="s">
        <v>28</v>
      </c>
      <c r="K20" s="33"/>
      <c r="L20" s="34"/>
    </row>
    <row r="21" spans="1:12" ht="17.7" thickBot="1" x14ac:dyDescent="0.6">
      <c r="E21" s="28" t="s">
        <v>52</v>
      </c>
      <c r="F21" s="29">
        <f>F7+F3</f>
        <v>1031.60096</v>
      </c>
      <c r="H21" s="35"/>
      <c r="I21" s="1" t="s">
        <v>7</v>
      </c>
      <c r="J21" s="1">
        <v>1880</v>
      </c>
      <c r="L21" s="43"/>
    </row>
    <row r="22" spans="1:12" x14ac:dyDescent="0.55000000000000004">
      <c r="B22" s="1" t="s">
        <v>102</v>
      </c>
      <c r="C22" s="9">
        <v>2479.81</v>
      </c>
      <c r="F22" s="10"/>
      <c r="H22" s="35"/>
      <c r="I22" s="1" t="s">
        <v>8</v>
      </c>
      <c r="J22" s="1" t="s">
        <v>29</v>
      </c>
      <c r="L22" s="43"/>
    </row>
    <row r="23" spans="1:12" x14ac:dyDescent="0.55000000000000004">
      <c r="B23" s="1" t="s">
        <v>103</v>
      </c>
      <c r="C23" s="3">
        <v>0.02</v>
      </c>
      <c r="D23" s="10">
        <f>C22*13*C23</f>
        <v>644.75059999999996</v>
      </c>
      <c r="G23" s="10"/>
      <c r="H23" s="35"/>
      <c r="I23" s="1" t="s">
        <v>9</v>
      </c>
      <c r="J23" s="1" t="s">
        <v>34</v>
      </c>
      <c r="L23" s="43"/>
    </row>
    <row r="24" spans="1:12" x14ac:dyDescent="0.55000000000000004">
      <c r="B24" s="1" t="s">
        <v>104</v>
      </c>
      <c r="C24" s="74">
        <v>1.2E-2</v>
      </c>
      <c r="D24" s="10">
        <f>C22*13*C24</f>
        <v>386.85035999999997</v>
      </c>
      <c r="H24" s="38"/>
      <c r="I24" s="39" t="s">
        <v>10</v>
      </c>
      <c r="J24" s="39">
        <v>0</v>
      </c>
      <c r="K24" s="39"/>
      <c r="L24" s="45"/>
    </row>
    <row r="26" spans="1:12" x14ac:dyDescent="0.55000000000000004">
      <c r="H26" s="32"/>
      <c r="I26" s="33" t="s">
        <v>33</v>
      </c>
      <c r="J26" s="33" t="s">
        <v>31</v>
      </c>
      <c r="K26" s="34"/>
    </row>
    <row r="27" spans="1:12" x14ac:dyDescent="0.55000000000000004">
      <c r="F27" s="10"/>
      <c r="H27" s="38"/>
      <c r="I27" s="46" t="s">
        <v>32</v>
      </c>
      <c r="J27" s="39">
        <v>65</v>
      </c>
      <c r="K27" s="45"/>
    </row>
    <row r="28" spans="1:12" x14ac:dyDescent="0.55000000000000004">
      <c r="F28" s="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636C1-0623-41B2-B6E6-9F3A4421529B}">
  <dimension ref="A1:L28"/>
  <sheetViews>
    <sheetView workbookViewId="0">
      <selection activeCell="F21" sqref="F21"/>
    </sheetView>
  </sheetViews>
  <sheetFormatPr defaultColWidth="8.89453125" defaultRowHeight="17.399999999999999" x14ac:dyDescent="0.55000000000000004"/>
  <cols>
    <col min="1" max="1" width="15.41796875" style="1" customWidth="1"/>
    <col min="2" max="2" width="50.3125" style="1" bestFit="1" customWidth="1"/>
    <col min="3" max="3" width="18.1015625" style="1" bestFit="1" customWidth="1"/>
    <col min="4" max="4" width="12.1015625" style="1" bestFit="1" customWidth="1"/>
    <col min="5" max="5" width="45.20703125" style="1" customWidth="1"/>
    <col min="6" max="6" width="15.20703125" style="1" customWidth="1"/>
    <col min="7" max="7" width="11.89453125" style="1" customWidth="1"/>
    <col min="8" max="8" width="9.1015625" style="1" customWidth="1"/>
    <col min="9" max="9" width="22" style="1" customWidth="1"/>
    <col min="10" max="10" width="21.7890625" style="1" customWidth="1"/>
    <col min="11" max="11" width="14" style="1" customWidth="1"/>
    <col min="12" max="12" width="13.41796875" style="1" customWidth="1"/>
    <col min="13" max="16384" width="8.89453125" style="1"/>
  </cols>
  <sheetData>
    <row r="1" spans="1:12" x14ac:dyDescent="0.55000000000000004">
      <c r="C1" s="4"/>
    </row>
    <row r="2" spans="1:12" ht="17.7" x14ac:dyDescent="0.6">
      <c r="A2" s="1" t="s">
        <v>24</v>
      </c>
      <c r="B2" s="1" t="s">
        <v>25</v>
      </c>
      <c r="C2" s="10"/>
      <c r="E2" s="22" t="s">
        <v>46</v>
      </c>
      <c r="F2" s="23">
        <v>5165</v>
      </c>
      <c r="H2" s="32"/>
      <c r="I2" s="33" t="s">
        <v>26</v>
      </c>
      <c r="J2" s="33" t="s">
        <v>17</v>
      </c>
      <c r="K2" s="34"/>
    </row>
    <row r="3" spans="1:12" ht="17.7" x14ac:dyDescent="0.6">
      <c r="A3" s="1" t="s">
        <v>2</v>
      </c>
      <c r="B3" s="22"/>
      <c r="C3" s="48">
        <v>50000</v>
      </c>
      <c r="D3" s="2"/>
      <c r="E3" s="30" t="s">
        <v>128</v>
      </c>
      <c r="F3" s="31">
        <f>C3*G3</f>
        <v>500</v>
      </c>
      <c r="G3" s="80">
        <v>0.01</v>
      </c>
      <c r="H3" s="35">
        <f>15000*J3</f>
        <v>3450</v>
      </c>
      <c r="I3" s="1" t="s">
        <v>7</v>
      </c>
      <c r="J3" s="36">
        <v>0.23</v>
      </c>
      <c r="K3" s="37"/>
    </row>
    <row r="4" spans="1:12" ht="17.7" x14ac:dyDescent="0.6">
      <c r="B4" s="5" t="s">
        <v>51</v>
      </c>
      <c r="C4" s="6">
        <f>C3*0.06907</f>
        <v>3453.5000000000005</v>
      </c>
      <c r="D4" s="2"/>
      <c r="E4" s="22" t="s">
        <v>47</v>
      </c>
      <c r="F4" s="23">
        <f>F2-F3</f>
        <v>4665</v>
      </c>
      <c r="G4" s="4">
        <f>F4/C3</f>
        <v>9.3299999999999994E-2</v>
      </c>
      <c r="H4" s="35">
        <f>13000*J4</f>
        <v>3250</v>
      </c>
      <c r="I4" s="1" t="s">
        <v>8</v>
      </c>
      <c r="J4" s="36">
        <v>0.25</v>
      </c>
      <c r="K4" s="37"/>
    </row>
    <row r="5" spans="1:12" ht="17.7" x14ac:dyDescent="0.6">
      <c r="A5" s="1" t="s">
        <v>3</v>
      </c>
      <c r="B5" s="7" t="s">
        <v>0</v>
      </c>
      <c r="C5" s="8">
        <f>C3*D5</f>
        <v>4595</v>
      </c>
      <c r="D5" s="24">
        <v>9.1899999999999996E-2</v>
      </c>
      <c r="E5" s="22" t="s">
        <v>45</v>
      </c>
      <c r="F5" s="23">
        <f>F4-F7</f>
        <v>0</v>
      </c>
      <c r="H5" s="35">
        <f>(50000-28000)*J5</f>
        <v>7699.9999999999991</v>
      </c>
      <c r="I5" s="1" t="s">
        <v>9</v>
      </c>
      <c r="J5" s="36">
        <v>0.35</v>
      </c>
      <c r="K5" s="37"/>
    </row>
    <row r="6" spans="1:12" ht="18" thickBot="1" x14ac:dyDescent="0.65">
      <c r="A6" s="1" t="s">
        <v>4</v>
      </c>
      <c r="B6" s="7" t="s">
        <v>1</v>
      </c>
      <c r="C6" s="8">
        <f>IF(C3&gt;48279,(C3-48279)*0.01,0)</f>
        <v>17.21</v>
      </c>
      <c r="D6" s="9"/>
      <c r="E6" s="1" t="s">
        <v>49</v>
      </c>
      <c r="F6" s="79">
        <v>4165</v>
      </c>
      <c r="H6" s="38"/>
      <c r="I6" s="39" t="s">
        <v>10</v>
      </c>
      <c r="J6" s="40">
        <v>0.43</v>
      </c>
      <c r="K6" s="41"/>
      <c r="L6" s="10"/>
    </row>
    <row r="7" spans="1:12" ht="17.7" x14ac:dyDescent="0.6">
      <c r="B7" s="7" t="s">
        <v>21</v>
      </c>
      <c r="C7" s="11">
        <f>C5+C6</f>
        <v>4612.21</v>
      </c>
      <c r="D7" s="12"/>
      <c r="E7" s="13" t="s">
        <v>127</v>
      </c>
      <c r="F7" s="14">
        <f>C3*G7+F6</f>
        <v>4665</v>
      </c>
      <c r="G7" s="80">
        <v>0.01</v>
      </c>
      <c r="K7" s="4"/>
    </row>
    <row r="8" spans="1:12" ht="17.7" x14ac:dyDescent="0.6">
      <c r="A8" s="1" t="s">
        <v>6</v>
      </c>
      <c r="B8" s="15" t="s">
        <v>5</v>
      </c>
      <c r="C8" s="16">
        <f>C3-C7</f>
        <v>45387.79</v>
      </c>
      <c r="D8" s="10"/>
      <c r="E8" s="25">
        <f>C8-F7</f>
        <v>40722.79</v>
      </c>
      <c r="F8" s="19">
        <f>C8-E8</f>
        <v>4665</v>
      </c>
      <c r="L8" s="4"/>
    </row>
    <row r="9" spans="1:12" ht="17.7" x14ac:dyDescent="0.6">
      <c r="A9" s="1" t="s">
        <v>12</v>
      </c>
      <c r="B9" s="15" t="s">
        <v>11</v>
      </c>
      <c r="C9" s="16">
        <f>IF(C8&gt;50000,(H3+H4+H5+(C8-50000)*J6),IF(C8&gt;28000,H3+H4+(C8-28000)*J5,IF(C8&gt;15000,H3+(C8-15000)*J4,C8*J3)))</f>
        <v>12785.726500000001</v>
      </c>
      <c r="D9" s="10"/>
      <c r="E9" s="25">
        <f>IF(E8&gt;50000,(H3+H4+H5+(E8-50000)*J6),IF(E8&gt;28000,H3+H4+(E8-28000)*J5,IF(E8&gt;15000,H3+(E8-15000)*J4,E8*J3)))</f>
        <v>11152.976500000001</v>
      </c>
      <c r="F9" s="19">
        <f>C9-E9</f>
        <v>1632.75</v>
      </c>
      <c r="L9" s="4"/>
    </row>
    <row r="10" spans="1:12" ht="17.7" x14ac:dyDescent="0.6">
      <c r="A10" s="1" t="s">
        <v>13</v>
      </c>
      <c r="B10" s="15" t="s">
        <v>14</v>
      </c>
      <c r="C10" s="16">
        <f>IF(C8&gt;50000,(H11+H12+H13+(C8-50000)*J14),IF(C8&gt;28000,H11+H12+(C8-28000)*J13,IF(C8&gt;15000,H11+(C8-15000)*J12,C8*J11)))</f>
        <v>688.96998800000006</v>
      </c>
      <c r="D10" s="10"/>
      <c r="E10" s="25">
        <f>IF(E8&gt;50000,(H11+H12+H13+(E8-50000)*J14),IF(E8&gt;28000,H11+H12+(E8-28000)*J13,IF(E8&gt;15000,H11+(E8-15000)*J12,E8*J11)))</f>
        <v>608.731988</v>
      </c>
      <c r="F10" s="19">
        <f t="shared" ref="F10:F11" si="0">C10-E10</f>
        <v>80.238000000000056</v>
      </c>
      <c r="H10" s="32"/>
      <c r="I10" s="33" t="s">
        <v>26</v>
      </c>
      <c r="J10" s="33" t="s">
        <v>35</v>
      </c>
      <c r="K10" s="34"/>
    </row>
    <row r="11" spans="1:12" ht="17.7" x14ac:dyDescent="0.6">
      <c r="A11" s="1" t="s">
        <v>15</v>
      </c>
      <c r="B11" s="15" t="s">
        <v>16</v>
      </c>
      <c r="C11" s="16">
        <f>IF(C8&gt;23000,C8*J18,0)</f>
        <v>363.10232000000002</v>
      </c>
      <c r="D11" s="10"/>
      <c r="E11" s="25">
        <f>IF(E8&gt;23000,E8*J18,0)</f>
        <v>325.78232000000003</v>
      </c>
      <c r="F11" s="19">
        <f t="shared" si="0"/>
        <v>37.319999999999993</v>
      </c>
      <c r="H11" s="35">
        <f>15000*J11</f>
        <v>184.5</v>
      </c>
      <c r="I11" s="1" t="s">
        <v>7</v>
      </c>
      <c r="J11" s="42">
        <v>1.23E-2</v>
      </c>
      <c r="K11" s="43"/>
    </row>
    <row r="12" spans="1:12" ht="17.7" x14ac:dyDescent="0.6">
      <c r="B12" s="15" t="s">
        <v>27</v>
      </c>
      <c r="C12" s="16">
        <f>C9+C10+C11</f>
        <v>13837.798808000001</v>
      </c>
      <c r="D12" s="10"/>
      <c r="E12" s="25">
        <f>E9+E10+E11</f>
        <v>12087.490808</v>
      </c>
      <c r="F12" s="19">
        <f>C12-E12</f>
        <v>1750.3080000000009</v>
      </c>
      <c r="H12" s="35">
        <f>13000*J12</f>
        <v>205.40000000000003</v>
      </c>
      <c r="I12" s="1" t="s">
        <v>8</v>
      </c>
      <c r="J12" s="42">
        <v>1.5800000000000002E-2</v>
      </c>
      <c r="K12" s="43"/>
    </row>
    <row r="13" spans="1:12" x14ac:dyDescent="0.55000000000000004">
      <c r="A13" s="1" t="s">
        <v>20</v>
      </c>
      <c r="B13" s="1" t="s">
        <v>22</v>
      </c>
      <c r="C13" s="10">
        <f>IF(C8&gt;50000,0,IF(C8&gt;28000,1910*(50000-C8)/22000,IF(C8&gt;15000,1910+1190*(28000-C8)/13000,J21)))</f>
        <v>400.42368636363625</v>
      </c>
      <c r="D13" s="10"/>
      <c r="E13" s="17">
        <f>IF(E8&gt;50000,0,IF(E8&gt;28000,1910*(50000-E8)/22000,IF(E8&gt;15000,1910+1190*(28000-E8)/13000,J21)))</f>
        <v>805.43050454545448</v>
      </c>
      <c r="F13" s="19">
        <f>E13-C13</f>
        <v>405.00681818181823</v>
      </c>
      <c r="H13" s="35">
        <f>22000*J13</f>
        <v>378.4</v>
      </c>
      <c r="I13" s="1" t="s">
        <v>9</v>
      </c>
      <c r="J13" s="42">
        <v>1.72E-2</v>
      </c>
      <c r="K13" s="43"/>
    </row>
    <row r="14" spans="1:12" x14ac:dyDescent="0.55000000000000004">
      <c r="A14" s="1" t="s">
        <v>23</v>
      </c>
      <c r="B14" s="1" t="s">
        <v>30</v>
      </c>
      <c r="C14" s="10">
        <f>IF(AND(C8&gt;25000,C8&lt;=35000),65,0)</f>
        <v>0</v>
      </c>
      <c r="D14" s="10"/>
      <c r="E14" s="17">
        <f>IF(AND(E8&gt;25000,E8&lt;=35000),65,0)</f>
        <v>0</v>
      </c>
      <c r="F14" s="19"/>
      <c r="H14" s="38"/>
      <c r="I14" s="39" t="s">
        <v>10</v>
      </c>
      <c r="J14" s="44">
        <v>1.7299999999999999E-2</v>
      </c>
      <c r="K14" s="45"/>
    </row>
    <row r="15" spans="1:12" x14ac:dyDescent="0.55000000000000004">
      <c r="A15" s="1" t="s">
        <v>37</v>
      </c>
      <c r="B15" s="1" t="s">
        <v>38</v>
      </c>
      <c r="C15" s="10">
        <f>C8-C9-C10-C11+C13+C14</f>
        <v>31950.414878363634</v>
      </c>
      <c r="D15" s="10"/>
      <c r="E15" s="17">
        <f>E8-E12+E13+E14</f>
        <v>29440.729696545452</v>
      </c>
      <c r="F15" s="19">
        <f>C15-E15</f>
        <v>2509.6851818181822</v>
      </c>
    </row>
    <row r="16" spans="1:12" x14ac:dyDescent="0.55000000000000004">
      <c r="E16" s="17"/>
      <c r="F16" s="18"/>
      <c r="H16" s="32"/>
      <c r="I16" s="33" t="s">
        <v>33</v>
      </c>
      <c r="J16" s="33" t="s">
        <v>36</v>
      </c>
      <c r="K16" s="34"/>
    </row>
    <row r="17" spans="1:12" x14ac:dyDescent="0.55000000000000004">
      <c r="A17" s="1">
        <v>13</v>
      </c>
      <c r="B17" s="1" t="s">
        <v>43</v>
      </c>
      <c r="C17" s="10">
        <f>C15/A17</f>
        <v>2457.7242214125872</v>
      </c>
      <c r="E17" s="17">
        <f>E15/A17</f>
        <v>2264.671515118881</v>
      </c>
      <c r="F17" s="19">
        <f>C17-E17</f>
        <v>193.05270629370625</v>
      </c>
      <c r="H17" s="35"/>
      <c r="I17" s="1" t="s">
        <v>18</v>
      </c>
      <c r="J17" s="42">
        <v>0</v>
      </c>
      <c r="K17" s="43"/>
    </row>
    <row r="18" spans="1:12" ht="17.7" thickBot="1" x14ac:dyDescent="0.6">
      <c r="A18" s="1">
        <v>14</v>
      </c>
      <c r="B18" s="1" t="s">
        <v>44</v>
      </c>
      <c r="C18" s="10">
        <f>C15/A18</f>
        <v>2282.1724913116882</v>
      </c>
      <c r="E18" s="20">
        <f>E15/A18</f>
        <v>2102.9092640389608</v>
      </c>
      <c r="F18" s="29">
        <f>C18-E18</f>
        <v>179.26322727272736</v>
      </c>
      <c r="H18" s="38"/>
      <c r="I18" s="39" t="s">
        <v>19</v>
      </c>
      <c r="J18" s="44">
        <v>8.0000000000000002E-3</v>
      </c>
      <c r="K18" s="45"/>
    </row>
    <row r="19" spans="1:12" ht="17.7" thickBot="1" x14ac:dyDescent="0.6"/>
    <row r="20" spans="1:12" x14ac:dyDescent="0.55000000000000004">
      <c r="E20" s="26" t="s">
        <v>39</v>
      </c>
      <c r="F20" s="27">
        <f>C15-E15</f>
        <v>2509.6851818181822</v>
      </c>
      <c r="H20" s="32"/>
      <c r="I20" s="33" t="s">
        <v>33</v>
      </c>
      <c r="J20" s="33" t="s">
        <v>28</v>
      </c>
      <c r="K20" s="33"/>
      <c r="L20" s="34"/>
    </row>
    <row r="21" spans="1:12" ht="17.7" thickBot="1" x14ac:dyDescent="0.6">
      <c r="E21" s="28" t="s">
        <v>52</v>
      </c>
      <c r="F21" s="29">
        <f>F7+F3</f>
        <v>5165</v>
      </c>
      <c r="H21" s="35"/>
      <c r="I21" s="1" t="s">
        <v>7</v>
      </c>
      <c r="J21" s="1">
        <v>1880</v>
      </c>
      <c r="L21" s="43"/>
    </row>
    <row r="22" spans="1:12" x14ac:dyDescent="0.55000000000000004">
      <c r="C22" s="9"/>
      <c r="F22" s="10"/>
      <c r="H22" s="35"/>
      <c r="I22" s="1" t="s">
        <v>8</v>
      </c>
      <c r="J22" s="1" t="s">
        <v>29</v>
      </c>
      <c r="L22" s="43"/>
    </row>
    <row r="23" spans="1:12" x14ac:dyDescent="0.55000000000000004">
      <c r="C23" s="3"/>
      <c r="D23" s="10"/>
      <c r="G23" s="10"/>
      <c r="H23" s="35"/>
      <c r="I23" s="1" t="s">
        <v>9</v>
      </c>
      <c r="J23" s="1" t="s">
        <v>34</v>
      </c>
      <c r="L23" s="43"/>
    </row>
    <row r="24" spans="1:12" x14ac:dyDescent="0.55000000000000004">
      <c r="C24" s="74"/>
      <c r="D24" s="10"/>
      <c r="H24" s="38"/>
      <c r="I24" s="39" t="s">
        <v>10</v>
      </c>
      <c r="J24" s="39">
        <v>0</v>
      </c>
      <c r="K24" s="39"/>
      <c r="L24" s="45"/>
    </row>
    <row r="26" spans="1:12" x14ac:dyDescent="0.55000000000000004">
      <c r="H26" s="32"/>
      <c r="I26" s="33" t="s">
        <v>33</v>
      </c>
      <c r="J26" s="33" t="s">
        <v>31</v>
      </c>
      <c r="K26" s="34"/>
    </row>
    <row r="27" spans="1:12" x14ac:dyDescent="0.55000000000000004">
      <c r="F27" s="10"/>
      <c r="H27" s="38"/>
      <c r="I27" s="46" t="s">
        <v>32</v>
      </c>
      <c r="J27" s="39">
        <v>65</v>
      </c>
      <c r="K27" s="45"/>
    </row>
    <row r="28" spans="1:12" x14ac:dyDescent="0.55000000000000004">
      <c r="F28" s="1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57512-478B-4CF9-808D-5495D1F89E3E}">
  <dimension ref="B1:U25"/>
  <sheetViews>
    <sheetView topLeftCell="D4" workbookViewId="0">
      <selection activeCell="K6" sqref="K6"/>
    </sheetView>
  </sheetViews>
  <sheetFormatPr defaultColWidth="8.89453125" defaultRowHeight="17.399999999999999" x14ac:dyDescent="0.55000000000000004"/>
  <cols>
    <col min="1" max="1" width="8.89453125" style="1"/>
    <col min="2" max="2" width="15.41796875" style="1" customWidth="1"/>
    <col min="3" max="3" width="50.3125" style="1" customWidth="1"/>
    <col min="4" max="4" width="16.68359375" style="1" bestFit="1" customWidth="1"/>
    <col min="5" max="5" width="10.7890625" style="1" customWidth="1"/>
    <col min="6" max="6" width="5.7890625" style="1" customWidth="1"/>
    <col min="7" max="7" width="9.7890625" style="1" bestFit="1" customWidth="1"/>
    <col min="8" max="8" width="10.7890625" style="1" customWidth="1"/>
    <col min="9" max="9" width="16.7890625" style="1" bestFit="1" customWidth="1"/>
    <col min="10" max="10" width="19.3125" style="1" customWidth="1"/>
    <col min="11" max="11" width="18.68359375" style="1" customWidth="1"/>
    <col min="12" max="12" width="21.20703125" style="1" bestFit="1" customWidth="1"/>
    <col min="13" max="13" width="22.20703125" style="1" bestFit="1" customWidth="1"/>
    <col min="14" max="14" width="24" style="1" bestFit="1" customWidth="1"/>
    <col min="15" max="15" width="9.1015625" style="1" bestFit="1" customWidth="1"/>
    <col min="16" max="16" width="8.89453125" style="1"/>
    <col min="17" max="19" width="0" style="1" hidden="1" customWidth="1"/>
    <col min="20" max="16384" width="8.89453125" style="1"/>
  </cols>
  <sheetData>
    <row r="1" spans="2:21" ht="17.7" hidden="1" x14ac:dyDescent="0.6">
      <c r="B1" s="1" t="s">
        <v>57</v>
      </c>
      <c r="D1" s="23">
        <f>D4/0.7</f>
        <v>71428.571428571435</v>
      </c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2:21" ht="17.7" x14ac:dyDescent="0.6">
      <c r="D2" s="23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2:21" ht="17.7" thickBot="1" x14ac:dyDescent="0.6">
      <c r="B3" s="1" t="s">
        <v>24</v>
      </c>
      <c r="C3" s="1" t="s">
        <v>25</v>
      </c>
      <c r="R3" s="1" t="s">
        <v>26</v>
      </c>
      <c r="S3" s="1" t="s">
        <v>17</v>
      </c>
    </row>
    <row r="4" spans="2:21" ht="35.700000000000003" thickBot="1" x14ac:dyDescent="0.65">
      <c r="B4" s="1" t="s">
        <v>2</v>
      </c>
      <c r="C4" s="22" t="s">
        <v>40</v>
      </c>
      <c r="D4" s="48">
        <v>50000</v>
      </c>
      <c r="E4" s="2"/>
      <c r="F4" s="2"/>
      <c r="G4" s="50" t="s">
        <v>58</v>
      </c>
      <c r="H4" s="50" t="s">
        <v>65</v>
      </c>
      <c r="I4" s="50" t="s">
        <v>59</v>
      </c>
      <c r="J4" s="49" t="s">
        <v>61</v>
      </c>
      <c r="K4" s="49" t="s">
        <v>62</v>
      </c>
      <c r="L4" s="51" t="s">
        <v>60</v>
      </c>
      <c r="M4" s="51" t="s">
        <v>63</v>
      </c>
      <c r="N4" s="51" t="s">
        <v>64</v>
      </c>
      <c r="O4" s="2"/>
      <c r="P4" s="2"/>
      <c r="Q4" s="1">
        <f>15000*S4</f>
        <v>3450</v>
      </c>
      <c r="R4" s="1" t="s">
        <v>7</v>
      </c>
      <c r="S4" s="3">
        <v>0.23</v>
      </c>
      <c r="T4" s="4"/>
    </row>
    <row r="5" spans="2:21" ht="23.4" thickBot="1" x14ac:dyDescent="0.9">
      <c r="C5" s="5" t="s">
        <v>41</v>
      </c>
      <c r="D5" s="6">
        <f>D4*0.06907</f>
        <v>3453.5000000000005</v>
      </c>
      <c r="E5" s="2"/>
      <c r="F5" s="2"/>
      <c r="G5" s="52">
        <v>2016</v>
      </c>
      <c r="H5" s="53">
        <v>100.3</v>
      </c>
      <c r="I5" s="54"/>
      <c r="J5" s="55"/>
      <c r="K5" s="56"/>
      <c r="L5" s="57">
        <f>$D$5</f>
        <v>3453.5000000000005</v>
      </c>
      <c r="M5" s="57">
        <f>$D$5</f>
        <v>3453.5000000000005</v>
      </c>
      <c r="N5" s="54"/>
      <c r="O5" s="2"/>
      <c r="P5" s="2"/>
      <c r="Q5" s="1">
        <f>13000*S5</f>
        <v>3250</v>
      </c>
      <c r="R5" s="1" t="s">
        <v>8</v>
      </c>
      <c r="S5" s="3">
        <v>0.25</v>
      </c>
      <c r="T5" s="4"/>
    </row>
    <row r="6" spans="2:21" ht="23.4" thickBot="1" x14ac:dyDescent="0.9">
      <c r="B6" s="1" t="s">
        <v>3</v>
      </c>
      <c r="C6" s="7" t="s">
        <v>0</v>
      </c>
      <c r="D6" s="8">
        <f>D4*E6</f>
        <v>4595</v>
      </c>
      <c r="E6" s="24">
        <v>9.1899999999999996E-2</v>
      </c>
      <c r="F6" s="24"/>
      <c r="G6" s="58">
        <v>2017</v>
      </c>
      <c r="H6" s="53">
        <v>101.1</v>
      </c>
      <c r="I6" s="59">
        <f>(H6-H5)/H5</f>
        <v>7.9760717846460334E-3</v>
      </c>
      <c r="J6" s="59">
        <f>1.5%+I6*0.75</f>
        <v>2.0982053838484525E-2</v>
      </c>
      <c r="K6" s="59">
        <f>J6*0.83</f>
        <v>1.7415104685942154E-2</v>
      </c>
      <c r="L6" s="57">
        <f>$D$5+L5+L5*K6</f>
        <v>6967.1430640329017</v>
      </c>
      <c r="M6" s="57">
        <f>M5+$D$5</f>
        <v>6907.0000000000009</v>
      </c>
      <c r="N6" s="54"/>
      <c r="O6" s="24"/>
      <c r="P6" s="24"/>
      <c r="Q6" s="1">
        <f>(50000-28000)*S6</f>
        <v>7699.9999999999991</v>
      </c>
      <c r="R6" s="1" t="s">
        <v>9</v>
      </c>
      <c r="S6" s="3">
        <v>0.35</v>
      </c>
      <c r="T6" s="4"/>
    </row>
    <row r="7" spans="2:21" ht="22.5" thickBot="1" x14ac:dyDescent="0.75">
      <c r="B7" s="1" t="s">
        <v>4</v>
      </c>
      <c r="C7" s="7" t="s">
        <v>1</v>
      </c>
      <c r="D7" s="8">
        <f>IF(D4&gt;48279,(D4-48279)*0.01,0)</f>
        <v>17.21</v>
      </c>
      <c r="E7" s="9"/>
      <c r="F7" s="9"/>
      <c r="G7" s="52">
        <v>2018</v>
      </c>
      <c r="H7" s="53">
        <v>102.1</v>
      </c>
      <c r="I7" s="59">
        <f t="shared" ref="I7:I13" si="0">(H7-H6)/H6</f>
        <v>9.8911968348170138E-3</v>
      </c>
      <c r="J7" s="59">
        <f t="shared" ref="J7:J13" si="1">1.5%+I7*0.75</f>
        <v>2.2418397626112758E-2</v>
      </c>
      <c r="K7" s="59">
        <f t="shared" ref="K7:K13" si="2">J7*0.83</f>
        <v>1.8607270029673589E-2</v>
      </c>
      <c r="L7" s="57">
        <f t="shared" ref="L7:L13" si="3">$D$5+L6+L6*K7</f>
        <v>10550.282576360729</v>
      </c>
      <c r="M7" s="57">
        <f t="shared" ref="M7:M11" si="4">M6+$D$5</f>
        <v>10360.500000000002</v>
      </c>
      <c r="N7" s="59">
        <f>$E$10</f>
        <v>0.28169969280284413</v>
      </c>
      <c r="O7" s="9"/>
      <c r="P7" s="9"/>
      <c r="R7" s="1" t="s">
        <v>10</v>
      </c>
      <c r="S7" s="3">
        <v>0.43</v>
      </c>
      <c r="T7" s="4"/>
      <c r="U7" s="10"/>
    </row>
    <row r="8" spans="2:21" ht="22.5" thickBot="1" x14ac:dyDescent="0.75">
      <c r="C8" s="7" t="s">
        <v>21</v>
      </c>
      <c r="D8" s="11">
        <f>D6+D7</f>
        <v>4612.21</v>
      </c>
      <c r="E8" s="12"/>
      <c r="F8" s="12"/>
      <c r="G8" s="58">
        <v>2019</v>
      </c>
      <c r="H8" s="53">
        <v>102.5</v>
      </c>
      <c r="I8" s="59">
        <f t="shared" si="0"/>
        <v>3.9177277179236599E-3</v>
      </c>
      <c r="J8" s="59">
        <f t="shared" si="1"/>
        <v>1.7938295788442745E-2</v>
      </c>
      <c r="K8" s="59">
        <f t="shared" si="2"/>
        <v>1.4888785504407477E-2</v>
      </c>
      <c r="L8" s="57">
        <f t="shared" si="3"/>
        <v>14160.863470651051</v>
      </c>
      <c r="M8" s="57">
        <f t="shared" si="4"/>
        <v>13814.000000000002</v>
      </c>
      <c r="N8" s="59">
        <f t="shared" ref="N8:N11" si="5">$E$10</f>
        <v>0.28169969280284413</v>
      </c>
      <c r="O8" s="12"/>
      <c r="P8" s="12"/>
      <c r="T8" s="4"/>
    </row>
    <row r="9" spans="2:21" ht="22.5" thickBot="1" x14ac:dyDescent="0.75">
      <c r="B9" s="1" t="s">
        <v>6</v>
      </c>
      <c r="C9" s="15" t="s">
        <v>5</v>
      </c>
      <c r="D9" s="16">
        <f>D4-D8</f>
        <v>45387.79</v>
      </c>
      <c r="E9" s="10"/>
      <c r="F9" s="10"/>
      <c r="G9" s="52">
        <v>2020</v>
      </c>
      <c r="H9" s="53">
        <v>102.3</v>
      </c>
      <c r="I9" s="59">
        <f t="shared" si="0"/>
        <v>-1.9512195121951497E-3</v>
      </c>
      <c r="J9" s="59">
        <f t="shared" si="1"/>
        <v>1.3536585365853638E-2</v>
      </c>
      <c r="K9" s="59">
        <f t="shared" si="2"/>
        <v>1.123536585365852E-2</v>
      </c>
      <c r="L9" s="57">
        <f t="shared" si="3"/>
        <v>17773.465952547525</v>
      </c>
      <c r="M9" s="57">
        <f t="shared" si="4"/>
        <v>17267.500000000004</v>
      </c>
      <c r="N9" s="59">
        <f t="shared" si="5"/>
        <v>0.28169969280284413</v>
      </c>
      <c r="O9" s="10"/>
      <c r="P9" s="10"/>
      <c r="U9" s="4"/>
    </row>
    <row r="10" spans="2:21" ht="22.5" thickBot="1" x14ac:dyDescent="0.75">
      <c r="B10" s="1" t="s">
        <v>12</v>
      </c>
      <c r="C10" s="15" t="s">
        <v>11</v>
      </c>
      <c r="D10" s="16">
        <f>IF(D9&gt;50000,(Q4+Q5+Q6+(D9-50000)*S7),IF(D9&gt;28000,Q4+Q5+(D9-28000)*S6,IF(D9&gt;15000,Q4+(D9-15000)*S5,D9*S4)))</f>
        <v>12785.726500000001</v>
      </c>
      <c r="E10" s="4">
        <f>D10/D9</f>
        <v>0.28169969280284413</v>
      </c>
      <c r="F10" s="4"/>
      <c r="G10" s="58">
        <v>2021</v>
      </c>
      <c r="H10" s="53">
        <v>106.2</v>
      </c>
      <c r="I10" s="59">
        <f t="shared" si="0"/>
        <v>3.8123167155425276E-2</v>
      </c>
      <c r="J10" s="59">
        <f t="shared" si="1"/>
        <v>4.3592375366568958E-2</v>
      </c>
      <c r="K10" s="59">
        <f t="shared" si="2"/>
        <v>3.6181671554252233E-2</v>
      </c>
      <c r="L10" s="57">
        <f t="shared" si="3"/>
        <v>21870.039660023285</v>
      </c>
      <c r="M10" s="57">
        <f t="shared" si="4"/>
        <v>20721.000000000004</v>
      </c>
      <c r="N10" s="59">
        <f t="shared" si="5"/>
        <v>0.28169969280284413</v>
      </c>
      <c r="O10" s="4"/>
      <c r="P10" s="4"/>
      <c r="U10" s="4"/>
    </row>
    <row r="11" spans="2:21" ht="22.5" thickBot="1" x14ac:dyDescent="0.75">
      <c r="C11" s="15"/>
      <c r="D11" s="16"/>
      <c r="E11" s="10"/>
      <c r="F11" s="10"/>
      <c r="G11" s="52">
        <v>2022</v>
      </c>
      <c r="H11" s="53">
        <v>118.2</v>
      </c>
      <c r="I11" s="59">
        <f t="shared" si="0"/>
        <v>0.11299435028248588</v>
      </c>
      <c r="J11" s="59">
        <f t="shared" si="1"/>
        <v>9.9745762711864402E-2</v>
      </c>
      <c r="K11" s="59">
        <f t="shared" si="2"/>
        <v>8.2788983050847448E-2</v>
      </c>
      <c r="L11" s="57">
        <f t="shared" si="3"/>
        <v>27134.138002758315</v>
      </c>
      <c r="M11" s="57">
        <f t="shared" si="4"/>
        <v>24174.500000000004</v>
      </c>
      <c r="N11" s="59">
        <f t="shared" si="5"/>
        <v>0.28169969280284413</v>
      </c>
      <c r="O11" s="10"/>
      <c r="P11" s="10"/>
    </row>
    <row r="12" spans="2:21" ht="23.4" thickBot="1" x14ac:dyDescent="0.9">
      <c r="C12" s="15"/>
      <c r="D12" s="16"/>
      <c r="E12" s="10"/>
      <c r="F12" s="10"/>
      <c r="G12" s="52">
        <v>2023</v>
      </c>
      <c r="H12" s="53">
        <v>118.9</v>
      </c>
      <c r="I12" s="59">
        <f t="shared" si="0"/>
        <v>5.9221658206430015E-3</v>
      </c>
      <c r="J12" s="59">
        <f t="shared" si="1"/>
        <v>1.944162436548225E-2</v>
      </c>
      <c r="K12" s="59">
        <f t="shared" si="2"/>
        <v>1.6136548223350266E-2</v>
      </c>
      <c r="L12" s="57">
        <f t="shared" si="3"/>
        <v>31025.489329138865</v>
      </c>
      <c r="M12" s="54"/>
      <c r="N12" s="59">
        <f>AVERAGE(N7:N11)</f>
        <v>0.28169969280284413</v>
      </c>
      <c r="O12" s="10"/>
      <c r="P12" s="10"/>
      <c r="S12" s="4"/>
    </row>
    <row r="13" spans="2:21" ht="23.1" x14ac:dyDescent="0.85">
      <c r="C13" s="15"/>
      <c r="D13" s="16"/>
      <c r="E13" s="10"/>
      <c r="F13" s="10"/>
      <c r="G13" s="52">
        <v>2024</v>
      </c>
      <c r="H13" s="53">
        <v>120.2</v>
      </c>
      <c r="I13" s="59">
        <f t="shared" si="0"/>
        <v>1.0933557611438159E-2</v>
      </c>
      <c r="J13" s="59">
        <f t="shared" si="1"/>
        <v>2.320016820857862E-2</v>
      </c>
      <c r="K13" s="59">
        <f t="shared" si="2"/>
        <v>1.9256139613120254E-2</v>
      </c>
      <c r="L13" s="57">
        <f t="shared" si="3"/>
        <v>35076.420483226138</v>
      </c>
      <c r="M13" s="54"/>
      <c r="N13" s="54"/>
      <c r="O13" s="10"/>
      <c r="P13" s="10"/>
      <c r="S13" s="4"/>
    </row>
    <row r="14" spans="2:21" ht="28.2" x14ac:dyDescent="1.05">
      <c r="D14" s="10"/>
      <c r="E14" s="10"/>
      <c r="F14" s="10"/>
      <c r="G14" s="60"/>
      <c r="H14" s="91"/>
      <c r="I14" s="60"/>
      <c r="J14" s="60"/>
      <c r="K14" s="60"/>
      <c r="L14" s="60"/>
      <c r="M14" s="60" t="s">
        <v>64</v>
      </c>
      <c r="N14" s="61">
        <f>M11*N12</f>
        <v>6809.9492236623564</v>
      </c>
      <c r="O14" s="10"/>
      <c r="P14" s="10"/>
      <c r="S14" s="4"/>
    </row>
    <row r="15" spans="2:21" ht="28.2" x14ac:dyDescent="1.05">
      <c r="D15" s="10"/>
      <c r="E15" s="10"/>
      <c r="F15" s="10"/>
      <c r="G15" s="60"/>
      <c r="H15" s="60"/>
      <c r="I15" s="60"/>
      <c r="J15" s="91"/>
      <c r="K15" s="60"/>
      <c r="L15" s="60"/>
      <c r="M15" s="60" t="s">
        <v>66</v>
      </c>
      <c r="N15" s="61">
        <f>L11-N14</f>
        <v>20324.188779095959</v>
      </c>
      <c r="O15" s="10"/>
      <c r="P15" s="10"/>
      <c r="S15" s="4"/>
    </row>
    <row r="16" spans="2:21" x14ac:dyDescent="0.55000000000000004"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4:14" x14ac:dyDescent="0.55000000000000004">
      <c r="J17" s="92"/>
    </row>
    <row r="18" spans="4:14" x14ac:dyDescent="0.55000000000000004">
      <c r="D18" s="10"/>
    </row>
    <row r="19" spans="4:14" x14ac:dyDescent="0.55000000000000004">
      <c r="D19" s="10"/>
    </row>
    <row r="25" spans="4:14" x14ac:dyDescent="0.55000000000000004">
      <c r="E25" s="10"/>
      <c r="F25" s="10"/>
      <c r="G25" s="10"/>
      <c r="H25" s="10"/>
      <c r="I25" s="10"/>
      <c r="J25" s="10"/>
      <c r="K25" s="10"/>
      <c r="L25" s="10"/>
      <c r="M25" s="10"/>
      <c r="N25" s="1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F249E-D4A5-4E07-994C-987223D17D9C}">
  <dimension ref="A1:Q48"/>
  <sheetViews>
    <sheetView topLeftCell="A7" workbookViewId="0">
      <selection activeCell="C14" sqref="C14"/>
    </sheetView>
  </sheetViews>
  <sheetFormatPr defaultColWidth="8.89453125" defaultRowHeight="17.399999999999999" x14ac:dyDescent="0.55000000000000004"/>
  <cols>
    <col min="1" max="1" width="15.41796875" style="1" customWidth="1"/>
    <col min="2" max="2" width="44.1015625" style="1" customWidth="1"/>
    <col min="3" max="3" width="18.1015625" style="1" bestFit="1" customWidth="1"/>
    <col min="4" max="4" width="16.68359375" style="1" customWidth="1"/>
    <col min="5" max="5" width="5.7890625" style="1" customWidth="1"/>
    <col min="6" max="6" width="11.89453125" style="1" customWidth="1"/>
    <col min="7" max="7" width="18.89453125" style="1" customWidth="1"/>
    <col min="8" max="8" width="18.1015625" style="1" customWidth="1"/>
    <col min="9" max="9" width="18.89453125" style="1" customWidth="1"/>
    <col min="10" max="10" width="18.1015625" style="1" customWidth="1"/>
    <col min="11" max="12" width="20.3125" style="1" customWidth="1"/>
    <col min="13" max="13" width="9.1015625" style="1" bestFit="1" customWidth="1"/>
    <col min="14" max="14" width="22" style="1" bestFit="1" customWidth="1"/>
    <col min="15" max="15" width="21.7890625" style="1" customWidth="1"/>
    <col min="16" max="16" width="14" style="1" bestFit="1" customWidth="1"/>
    <col min="17" max="17" width="13.41796875" style="1" bestFit="1" customWidth="1"/>
    <col min="18" max="16384" width="8.89453125" style="1"/>
  </cols>
  <sheetData>
    <row r="1" spans="1:17" ht="17.7" hidden="1" x14ac:dyDescent="0.6">
      <c r="A1" s="1" t="s">
        <v>57</v>
      </c>
      <c r="C1" s="23">
        <f>C4/0.7</f>
        <v>57142.857142857145</v>
      </c>
      <c r="D1" s="10"/>
    </row>
    <row r="2" spans="1:17" ht="17.7" x14ac:dyDescent="0.6">
      <c r="C2" s="23"/>
      <c r="D2" s="10"/>
    </row>
    <row r="3" spans="1:17" ht="17.7" x14ac:dyDescent="0.6">
      <c r="A3" s="1" t="s">
        <v>24</v>
      </c>
      <c r="B3" s="1" t="s">
        <v>25</v>
      </c>
      <c r="F3" s="22" t="s">
        <v>83</v>
      </c>
      <c r="G3" s="75" t="s">
        <v>71</v>
      </c>
      <c r="H3" s="75" t="s">
        <v>74</v>
      </c>
      <c r="I3" s="75" t="s">
        <v>72</v>
      </c>
      <c r="J3" s="22" t="s">
        <v>77</v>
      </c>
      <c r="K3" s="22" t="s">
        <v>78</v>
      </c>
      <c r="N3" s="1" t="s">
        <v>26</v>
      </c>
      <c r="O3" s="1" t="s">
        <v>17</v>
      </c>
    </row>
    <row r="4" spans="1:17" ht="17.7" x14ac:dyDescent="0.6">
      <c r="A4" s="1" t="s">
        <v>2</v>
      </c>
      <c r="B4" s="22" t="s">
        <v>40</v>
      </c>
      <c r="C4" s="87">
        <v>40000</v>
      </c>
      <c r="D4" s="2"/>
      <c r="F4" s="72">
        <f>C12-(C12-1)</f>
        <v>1</v>
      </c>
      <c r="G4" s="10">
        <f>$C$5</f>
        <v>2762.8</v>
      </c>
      <c r="H4" s="10">
        <f>IF(F4&lt;=$C$12,G4-$C$5*F4*$C$18,"")</f>
        <v>2031.6057064199981</v>
      </c>
      <c r="I4" s="10">
        <f>$C$5</f>
        <v>2762.8</v>
      </c>
      <c r="J4" s="10">
        <f>IF(F4&lt;=$C$12,I4-F4*$C$5*K4,"")</f>
        <v>2348.38</v>
      </c>
      <c r="K4" s="74">
        <v>0.15</v>
      </c>
      <c r="L4" s="74"/>
      <c r="M4" s="1">
        <f>15000*O4</f>
        <v>3450</v>
      </c>
      <c r="N4" s="1" t="s">
        <v>7</v>
      </c>
      <c r="O4" s="3">
        <v>0.23</v>
      </c>
      <c r="P4" s="4"/>
    </row>
    <row r="5" spans="1:17" ht="17.7" x14ac:dyDescent="0.6">
      <c r="A5" s="1" t="s">
        <v>81</v>
      </c>
      <c r="B5" s="5" t="s">
        <v>51</v>
      </c>
      <c r="C5" s="6">
        <f>C4*0.06907</f>
        <v>2762.8</v>
      </c>
      <c r="D5" s="2"/>
      <c r="F5" s="1">
        <v>2</v>
      </c>
      <c r="G5" s="10">
        <f t="shared" ref="G5:G48" si="0">IF(F5&lt;=$C$12,$C$5+G4+G4*$C$15,"")</f>
        <v>5599.5532490000005</v>
      </c>
      <c r="H5" s="10">
        <f t="shared" ref="H5:H48" si="1">IF(F5&lt;=$C$12,G5-$C$5*F5*$C$18,"")</f>
        <v>4137.1646618399964</v>
      </c>
      <c r="I5" s="10">
        <f>IF(F5&lt;=$C$12,$C$5+I4+I4*$C$13,"")</f>
        <v>5630.5864000000001</v>
      </c>
      <c r="J5" s="10">
        <f t="shared" ref="J5:J48" si="2">IF(F5&lt;=$C$12,I5-F5*$C$5*K5,"")</f>
        <v>4801.7464</v>
      </c>
      <c r="K5" s="74">
        <v>0.15</v>
      </c>
      <c r="L5" s="74"/>
      <c r="M5" s="1">
        <f>13000*O5</f>
        <v>3250</v>
      </c>
      <c r="N5" s="1" t="s">
        <v>8</v>
      </c>
      <c r="O5" s="3">
        <v>0.25</v>
      </c>
      <c r="P5" s="4"/>
    </row>
    <row r="6" spans="1:17" ht="17.7" x14ac:dyDescent="0.6">
      <c r="A6" s="1" t="s">
        <v>3</v>
      </c>
      <c r="B6" s="7" t="s">
        <v>0</v>
      </c>
      <c r="C6" s="8">
        <f>C4*D6</f>
        <v>3676</v>
      </c>
      <c r="D6" s="68">
        <v>9.1899999999999996E-2</v>
      </c>
      <c r="F6" s="1">
        <v>3</v>
      </c>
      <c r="G6" s="10">
        <f t="shared" si="0"/>
        <v>8512.2392905926081</v>
      </c>
      <c r="H6" s="10">
        <f t="shared" si="1"/>
        <v>6318.6564098526014</v>
      </c>
      <c r="I6" s="10">
        <f t="shared" ref="I6:I48" si="3">IF(F6&lt;=$C$12,$C$5+I5+I5*$C$13,"")</f>
        <v>8607.3486831999999</v>
      </c>
      <c r="J6" s="10">
        <f t="shared" si="2"/>
        <v>7364.0886831999997</v>
      </c>
      <c r="K6" s="74">
        <v>0.15</v>
      </c>
      <c r="L6" s="74"/>
      <c r="M6" s="1">
        <f>(50000-28000)*O6</f>
        <v>7699.9999999999991</v>
      </c>
      <c r="N6" s="1" t="s">
        <v>9</v>
      </c>
      <c r="O6" s="3">
        <v>0.35</v>
      </c>
      <c r="P6" s="4"/>
    </row>
    <row r="7" spans="1:17" ht="17.7" x14ac:dyDescent="0.6">
      <c r="A7" s="1" t="s">
        <v>4</v>
      </c>
      <c r="B7" s="7" t="s">
        <v>1</v>
      </c>
      <c r="C7" s="8">
        <f>IF(C4&gt;48279,(C4-48279)*0.01,0)</f>
        <v>0</v>
      </c>
      <c r="D7" s="69"/>
      <c r="F7" s="1">
        <v>4</v>
      </c>
      <c r="G7" s="10">
        <f t="shared" si="0"/>
        <v>11502.890655803547</v>
      </c>
      <c r="H7" s="10">
        <f t="shared" si="1"/>
        <v>8578.1134814835386</v>
      </c>
      <c r="I7" s="10">
        <f t="shared" si="3"/>
        <v>11697.227933161601</v>
      </c>
      <c r="J7" s="10">
        <f t="shared" si="2"/>
        <v>10039.547933161601</v>
      </c>
      <c r="K7" s="74">
        <v>0.15</v>
      </c>
      <c r="L7" s="74"/>
      <c r="N7" s="1" t="s">
        <v>10</v>
      </c>
      <c r="O7" s="3">
        <v>0.43</v>
      </c>
      <c r="P7" s="4"/>
      <c r="Q7" s="10"/>
    </row>
    <row r="8" spans="1:17" ht="17.7" x14ac:dyDescent="0.6">
      <c r="B8" s="7" t="s">
        <v>21</v>
      </c>
      <c r="C8" s="11">
        <f>C6+C7</f>
        <v>3676</v>
      </c>
      <c r="D8" s="70"/>
      <c r="E8" s="4"/>
      <c r="F8" s="1">
        <v>5</v>
      </c>
      <c r="G8" s="10">
        <f t="shared" si="0"/>
        <v>14573.59428143277</v>
      </c>
      <c r="H8" s="10">
        <f t="shared" si="1"/>
        <v>10917.622813532758</v>
      </c>
      <c r="I8" s="10">
        <f t="shared" si="3"/>
        <v>14904.522594621742</v>
      </c>
      <c r="J8" s="10">
        <f t="shared" si="2"/>
        <v>12832.422594621741</v>
      </c>
      <c r="K8" s="74">
        <v>0.15</v>
      </c>
      <c r="L8" s="74"/>
      <c r="P8" s="4"/>
    </row>
    <row r="9" spans="1:17" ht="17.7" x14ac:dyDescent="0.6">
      <c r="B9" s="15" t="s">
        <v>5</v>
      </c>
      <c r="C9" s="16">
        <f>C4-C8</f>
        <v>36324</v>
      </c>
      <c r="D9" s="71"/>
      <c r="F9" s="1">
        <v>6</v>
      </c>
      <c r="G9" s="10">
        <f t="shared" si="0"/>
        <v>17726.492966361024</v>
      </c>
      <c r="H9" s="10">
        <f t="shared" si="1"/>
        <v>13339.32720488101</v>
      </c>
      <c r="I9" s="10">
        <f t="shared" si="3"/>
        <v>18233.694453217369</v>
      </c>
      <c r="J9" s="10">
        <f t="shared" si="2"/>
        <v>15747.174453217369</v>
      </c>
      <c r="K9" s="74">
        <v>0.15</v>
      </c>
      <c r="L9" s="74"/>
      <c r="Q9" s="4"/>
    </row>
    <row r="10" spans="1:17" ht="17.7" x14ac:dyDescent="0.6">
      <c r="B10" s="15" t="s">
        <v>11</v>
      </c>
      <c r="C10" s="16">
        <f>IF(C9&gt;50000,(M4+M5+M6+(C9-50000)*O7),IF(C9&gt;28000,M4+M5+(C9-28000)*O6,IF(C9&gt;15000,M4+(C9-15000)*O5,C9*O4)))</f>
        <v>9613.4</v>
      </c>
      <c r="D10" s="68"/>
      <c r="F10" s="1">
        <v>7</v>
      </c>
      <c r="G10" s="10">
        <f t="shared" si="0"/>
        <v>20963.786866838091</v>
      </c>
      <c r="H10" s="10">
        <f t="shared" si="1"/>
        <v>15845.426811778074</v>
      </c>
      <c r="I10" s="10">
        <f t="shared" si="3"/>
        <v>21689.374842439629</v>
      </c>
      <c r="J10" s="10">
        <f t="shared" si="2"/>
        <v>18788.43484243963</v>
      </c>
      <c r="K10" s="74">
        <v>0.15</v>
      </c>
      <c r="L10" s="74"/>
      <c r="Q10" s="4"/>
    </row>
    <row r="11" spans="1:17" ht="17.7" x14ac:dyDescent="0.6">
      <c r="B11" s="15"/>
      <c r="C11" s="16"/>
      <c r="D11" s="24"/>
      <c r="F11" s="1">
        <v>8</v>
      </c>
      <c r="G11" s="10">
        <f t="shared" si="0"/>
        <v>24287.735031796179</v>
      </c>
      <c r="H11" s="10">
        <f t="shared" si="1"/>
        <v>18438.180683156163</v>
      </c>
      <c r="I11" s="10">
        <f t="shared" si="3"/>
        <v>25276.371086452335</v>
      </c>
      <c r="J11" s="10">
        <f t="shared" si="2"/>
        <v>21961.011086452334</v>
      </c>
      <c r="K11" s="74">
        <v>0.15</v>
      </c>
      <c r="L11" s="74"/>
      <c r="Q11" s="4"/>
    </row>
    <row r="12" spans="1:17" ht="17.7" x14ac:dyDescent="0.6">
      <c r="A12" s="1" t="s">
        <v>80</v>
      </c>
      <c r="B12" s="65" t="s">
        <v>69</v>
      </c>
      <c r="C12" s="85">
        <v>20</v>
      </c>
      <c r="F12" s="1">
        <v>9</v>
      </c>
      <c r="G12" s="10">
        <f t="shared" si="0"/>
        <v>27700.656979259784</v>
      </c>
      <c r="H12" s="10">
        <f t="shared" si="1"/>
        <v>21119.908337039764</v>
      </c>
      <c r="I12" s="10">
        <f t="shared" si="3"/>
        <v>28999.673187737524</v>
      </c>
      <c r="J12" s="10">
        <f t="shared" si="2"/>
        <v>25269.893187737525</v>
      </c>
      <c r="K12" s="74">
        <v>0.15</v>
      </c>
      <c r="L12" s="74"/>
    </row>
    <row r="13" spans="1:17" ht="18.600000000000001" customHeight="1" x14ac:dyDescent="0.6">
      <c r="A13" s="1" t="s">
        <v>79</v>
      </c>
      <c r="B13" s="63" t="s">
        <v>67</v>
      </c>
      <c r="C13" s="86">
        <v>3.7999999999999999E-2</v>
      </c>
      <c r="F13" s="1">
        <v>10</v>
      </c>
      <c r="G13" s="10">
        <f t="shared" si="0"/>
        <v>31204.934314952119</v>
      </c>
      <c r="H13" s="10">
        <f t="shared" si="1"/>
        <v>23892.991379152096</v>
      </c>
      <c r="I13" s="10">
        <f t="shared" si="3"/>
        <v>32864.460768871548</v>
      </c>
      <c r="J13" s="10">
        <f t="shared" si="2"/>
        <v>28720.260768871547</v>
      </c>
      <c r="K13" s="74">
        <v>0.15</v>
      </c>
      <c r="L13" s="74"/>
    </row>
    <row r="14" spans="1:17" ht="18.600000000000001" customHeight="1" x14ac:dyDescent="0.6">
      <c r="B14" s="63" t="s">
        <v>68</v>
      </c>
      <c r="C14" s="86">
        <v>2.3E-2</v>
      </c>
      <c r="E14" s="10"/>
      <c r="F14" s="1">
        <v>11</v>
      </c>
      <c r="G14" s="10">
        <f t="shared" si="0"/>
        <v>34803.012394227597</v>
      </c>
      <c r="H14" s="10">
        <f t="shared" si="1"/>
        <v>26759.875164847574</v>
      </c>
      <c r="I14" s="10">
        <f t="shared" si="3"/>
        <v>36876.110278088672</v>
      </c>
      <c r="J14" s="10">
        <f t="shared" si="2"/>
        <v>32317.490278088673</v>
      </c>
      <c r="K14" s="74">
        <v>0.15</v>
      </c>
      <c r="L14" s="74"/>
    </row>
    <row r="15" spans="1:17" ht="32.549999999999997" customHeight="1" x14ac:dyDescent="0.6">
      <c r="A15" s="1" t="s">
        <v>79</v>
      </c>
      <c r="B15" s="66" t="s">
        <v>70</v>
      </c>
      <c r="C15" s="47">
        <f>(1.5%+0.75*C14)*0.83</f>
        <v>2.67675E-2</v>
      </c>
      <c r="D15" s="10"/>
      <c r="F15" s="1">
        <v>12</v>
      </c>
      <c r="G15" s="10">
        <f t="shared" si="0"/>
        <v>38497.402028490083</v>
      </c>
      <c r="H15" s="10">
        <f t="shared" si="1"/>
        <v>29723.070505530057</v>
      </c>
      <c r="I15" s="10">
        <f t="shared" si="3"/>
        <v>41040.202468656047</v>
      </c>
      <c r="J15" s="10">
        <f t="shared" si="2"/>
        <v>36067.162468656046</v>
      </c>
      <c r="K15" s="74">
        <v>0.15</v>
      </c>
      <c r="L15" s="74"/>
    </row>
    <row r="16" spans="1:17" ht="18.600000000000001" customHeight="1" x14ac:dyDescent="0.55000000000000004">
      <c r="B16"/>
      <c r="C16"/>
      <c r="F16" s="1">
        <v>13</v>
      </c>
      <c r="G16" s="10">
        <f t="shared" si="0"/>
        <v>42290.681237287696</v>
      </c>
      <c r="H16" s="10">
        <f t="shared" si="1"/>
        <v>32785.155420747666</v>
      </c>
      <c r="I16" s="10">
        <f t="shared" si="3"/>
        <v>45362.53016246498</v>
      </c>
      <c r="J16" s="10">
        <f t="shared" si="2"/>
        <v>39975.070162464981</v>
      </c>
      <c r="K16" s="74">
        <v>0.15</v>
      </c>
      <c r="L16" s="74"/>
    </row>
    <row r="17" spans="2:14" ht="18.600000000000001" customHeight="1" x14ac:dyDescent="0.55000000000000004">
      <c r="B17" s="66" t="s">
        <v>82</v>
      </c>
      <c r="C17" s="67">
        <f>C5*((((1+C15)^C12)-1)/C15)</f>
        <v>71844.0649519367</v>
      </c>
      <c r="F17" s="1">
        <v>14</v>
      </c>
      <c r="G17" s="10">
        <f t="shared" si="0"/>
        <v>46185.497047306795</v>
      </c>
      <c r="H17" s="10">
        <f t="shared" si="1"/>
        <v>35948.776937186762</v>
      </c>
      <c r="I17" s="10">
        <f t="shared" si="3"/>
        <v>49849.106308638649</v>
      </c>
      <c r="J17" s="10">
        <f t="shared" si="2"/>
        <v>44047.226308638652</v>
      </c>
      <c r="K17" s="74">
        <v>0.15</v>
      </c>
      <c r="L17" s="74"/>
      <c r="N17" s="21"/>
    </row>
    <row r="18" spans="2:14" ht="18.600000000000001" customHeight="1" x14ac:dyDescent="0.55000000000000004">
      <c r="B18" s="66" t="s">
        <v>84</v>
      </c>
      <c r="C18" s="73">
        <f>C10/C9</f>
        <v>0.26465697610395328</v>
      </c>
      <c r="F18" s="1">
        <v>15</v>
      </c>
      <c r="G18" s="10">
        <f t="shared" si="0"/>
        <v>50184.567339520581</v>
      </c>
      <c r="H18" s="10">
        <f t="shared" si="1"/>
        <v>39216.652935820552</v>
      </c>
      <c r="I18" s="10">
        <f t="shared" si="3"/>
        <v>54506.172348366919</v>
      </c>
      <c r="J18" s="10">
        <f t="shared" si="2"/>
        <v>48289.872348366916</v>
      </c>
      <c r="K18" s="74">
        <v>0.15</v>
      </c>
      <c r="L18" s="74"/>
    </row>
    <row r="19" spans="2:14" ht="18.600000000000001" customHeight="1" x14ac:dyDescent="0.55000000000000004">
      <c r="B19" s="66" t="s">
        <v>73</v>
      </c>
      <c r="C19" s="67">
        <f>(C5*C12)*C18</f>
        <v>14623.885871600043</v>
      </c>
      <c r="F19" s="1">
        <v>16</v>
      </c>
      <c r="G19" s="10">
        <f t="shared" si="0"/>
        <v>54290.682745781203</v>
      </c>
      <c r="H19" s="10">
        <f t="shared" si="1"/>
        <v>42591.57404850117</v>
      </c>
      <c r="I19" s="10">
        <f>IF(F19&lt;=$C$12,$C$5+I18+I18*$C$13,"")</f>
        <v>59340.206897604861</v>
      </c>
      <c r="J19" s="10">
        <f t="shared" si="2"/>
        <v>52842.101297604859</v>
      </c>
      <c r="K19" s="74">
        <f>15%-((F19-15)*0.3%)</f>
        <v>0.14699999999999999</v>
      </c>
      <c r="L19" s="74"/>
    </row>
    <row r="20" spans="2:14" ht="18.600000000000001" customHeight="1" x14ac:dyDescent="0.55000000000000004">
      <c r="B20" s="66" t="s">
        <v>75</v>
      </c>
      <c r="C20" s="67">
        <f>C17-C19</f>
        <v>57220.17908033666</v>
      </c>
      <c r="F20" s="1">
        <v>17</v>
      </c>
      <c r="G20" s="10">
        <f t="shared" si="0"/>
        <v>58506.708596178905</v>
      </c>
      <c r="H20" s="10">
        <f t="shared" si="1"/>
        <v>46076.405605318869</v>
      </c>
      <c r="I20" s="10">
        <f t="shared" si="3"/>
        <v>64357.934759713848</v>
      </c>
      <c r="J20" s="10">
        <f t="shared" si="2"/>
        <v>57594.600359713848</v>
      </c>
      <c r="K20" s="74">
        <f t="shared" ref="K20:K38" si="4">15%-((F20-15)*0.3%)</f>
        <v>0.14399999999999999</v>
      </c>
      <c r="L20" s="74"/>
    </row>
    <row r="21" spans="2:14" ht="18.600000000000001" customHeight="1" x14ac:dyDescent="0.55000000000000004">
      <c r="B21" s="66"/>
      <c r="C21" s="67"/>
      <c r="F21" s="1">
        <v>18</v>
      </c>
      <c r="G21" s="10">
        <f t="shared" si="0"/>
        <v>62835.586918527129</v>
      </c>
      <c r="H21" s="10">
        <f t="shared" si="1"/>
        <v>49674.08963408709</v>
      </c>
      <c r="I21" s="10">
        <f t="shared" si="3"/>
        <v>69566.336280582967</v>
      </c>
      <c r="J21" s="10">
        <f t="shared" si="2"/>
        <v>62554.349880582966</v>
      </c>
      <c r="K21" s="74">
        <f t="shared" si="4"/>
        <v>0.14099999999999999</v>
      </c>
      <c r="L21" s="74"/>
    </row>
    <row r="22" spans="2:14" ht="18.600000000000001" customHeight="1" x14ac:dyDescent="0.55000000000000004">
      <c r="B22" s="66" t="s">
        <v>72</v>
      </c>
      <c r="C22" s="67">
        <f>C5*((((1+C13)^C12)-1)/C13)</f>
        <v>80584.418027496533</v>
      </c>
      <c r="F22" s="1">
        <v>19</v>
      </c>
      <c r="G22" s="10">
        <f t="shared" si="0"/>
        <v>67280.338491368806</v>
      </c>
      <c r="H22" s="10">
        <f t="shared" si="1"/>
        <v>53387.646913348763</v>
      </c>
      <c r="I22" s="10">
        <f t="shared" si="3"/>
        <v>74972.657059245117</v>
      </c>
      <c r="J22" s="10">
        <f t="shared" si="2"/>
        <v>67728.595459245116</v>
      </c>
      <c r="K22" s="74">
        <f t="shared" si="4"/>
        <v>0.13799999999999998</v>
      </c>
      <c r="L22" s="74"/>
    </row>
    <row r="23" spans="2:14" ht="18.600000000000001" customHeight="1" x14ac:dyDescent="0.55000000000000004">
      <c r="B23" s="66" t="s">
        <v>84</v>
      </c>
      <c r="C23" s="73">
        <f>VLOOKUP(C12,F:K,6,FALSE)</f>
        <v>0.13500000000000001</v>
      </c>
      <c r="F23" s="1">
        <v>20</v>
      </c>
      <c r="G23" s="10">
        <f t="shared" si="0"/>
        <v>71844.064951936525</v>
      </c>
      <c r="H23" s="10">
        <f t="shared" si="1"/>
        <v>57220.179080336486</v>
      </c>
      <c r="I23" s="10">
        <f t="shared" si="3"/>
        <v>80584.418027496431</v>
      </c>
      <c r="J23" s="10">
        <f t="shared" si="2"/>
        <v>73124.858027496433</v>
      </c>
      <c r="K23" s="74">
        <f t="shared" si="4"/>
        <v>0.13500000000000001</v>
      </c>
      <c r="L23" s="74"/>
    </row>
    <row r="24" spans="2:14" ht="18.600000000000001" customHeight="1" x14ac:dyDescent="0.55000000000000004">
      <c r="B24" s="66" t="s">
        <v>73</v>
      </c>
      <c r="C24" s="67">
        <f>(C5*C12)*C23</f>
        <v>7459.56</v>
      </c>
      <c r="F24" s="1">
        <v>21</v>
      </c>
      <c r="G24" s="10" t="str">
        <f t="shared" si="0"/>
        <v/>
      </c>
      <c r="H24" s="10" t="str">
        <f t="shared" si="1"/>
        <v/>
      </c>
      <c r="I24" s="10" t="str">
        <f t="shared" si="3"/>
        <v/>
      </c>
      <c r="J24" s="10" t="str">
        <f t="shared" si="2"/>
        <v/>
      </c>
      <c r="K24" s="74">
        <f t="shared" si="4"/>
        <v>0.13200000000000001</v>
      </c>
      <c r="L24" s="74"/>
    </row>
    <row r="25" spans="2:14" ht="18.600000000000001" customHeight="1" x14ac:dyDescent="0.55000000000000004">
      <c r="B25" s="66" t="s">
        <v>76</v>
      </c>
      <c r="C25" s="67">
        <f>C22-C24</f>
        <v>73124.858027496535</v>
      </c>
      <c r="F25" s="1">
        <v>22</v>
      </c>
      <c r="G25" s="10" t="str">
        <f t="shared" si="0"/>
        <v/>
      </c>
      <c r="H25" s="10" t="str">
        <f t="shared" si="1"/>
        <v/>
      </c>
      <c r="I25" s="10" t="str">
        <f t="shared" si="3"/>
        <v/>
      </c>
      <c r="J25" s="10" t="str">
        <f t="shared" si="2"/>
        <v/>
      </c>
      <c r="K25" s="74">
        <f t="shared" si="4"/>
        <v>0.129</v>
      </c>
      <c r="L25" s="74"/>
    </row>
    <row r="26" spans="2:14" x14ac:dyDescent="0.55000000000000004">
      <c r="F26" s="1">
        <v>23</v>
      </c>
      <c r="G26" s="10" t="str">
        <f t="shared" si="0"/>
        <v/>
      </c>
      <c r="H26" s="10" t="str">
        <f t="shared" si="1"/>
        <v/>
      </c>
      <c r="I26" s="10" t="str">
        <f t="shared" si="3"/>
        <v/>
      </c>
      <c r="J26" s="10" t="str">
        <f t="shared" si="2"/>
        <v/>
      </c>
      <c r="K26" s="74">
        <f t="shared" si="4"/>
        <v>0.126</v>
      </c>
      <c r="L26" s="74"/>
    </row>
    <row r="27" spans="2:14" x14ac:dyDescent="0.55000000000000004">
      <c r="F27" s="1">
        <v>24</v>
      </c>
      <c r="G27" s="10" t="str">
        <f t="shared" si="0"/>
        <v/>
      </c>
      <c r="H27" s="10" t="str">
        <f t="shared" si="1"/>
        <v/>
      </c>
      <c r="I27" s="10" t="str">
        <f t="shared" si="3"/>
        <v/>
      </c>
      <c r="J27" s="10" t="str">
        <f t="shared" si="2"/>
        <v/>
      </c>
      <c r="K27" s="74">
        <f t="shared" si="4"/>
        <v>0.123</v>
      </c>
      <c r="L27" s="74"/>
    </row>
    <row r="28" spans="2:14" x14ac:dyDescent="0.55000000000000004">
      <c r="F28" s="1">
        <v>25</v>
      </c>
      <c r="G28" s="10" t="str">
        <f t="shared" si="0"/>
        <v/>
      </c>
      <c r="H28" s="10" t="str">
        <f t="shared" si="1"/>
        <v/>
      </c>
      <c r="I28" s="10" t="str">
        <f t="shared" si="3"/>
        <v/>
      </c>
      <c r="J28" s="10" t="str">
        <f t="shared" si="2"/>
        <v/>
      </c>
      <c r="K28" s="74">
        <f t="shared" si="4"/>
        <v>0.12</v>
      </c>
      <c r="L28" s="74"/>
    </row>
    <row r="29" spans="2:14" x14ac:dyDescent="0.55000000000000004">
      <c r="F29" s="1">
        <v>26</v>
      </c>
      <c r="G29" s="10" t="str">
        <f t="shared" si="0"/>
        <v/>
      </c>
      <c r="H29" s="10" t="str">
        <f t="shared" si="1"/>
        <v/>
      </c>
      <c r="I29" s="10" t="str">
        <f t="shared" si="3"/>
        <v/>
      </c>
      <c r="J29" s="10" t="str">
        <f t="shared" si="2"/>
        <v/>
      </c>
      <c r="K29" s="74">
        <f t="shared" si="4"/>
        <v>0.11699999999999999</v>
      </c>
      <c r="L29" s="74"/>
    </row>
    <row r="30" spans="2:14" x14ac:dyDescent="0.55000000000000004">
      <c r="F30" s="1">
        <v>27</v>
      </c>
      <c r="G30" s="10" t="str">
        <f t="shared" si="0"/>
        <v/>
      </c>
      <c r="H30" s="10" t="str">
        <f t="shared" si="1"/>
        <v/>
      </c>
      <c r="I30" s="10" t="str">
        <f t="shared" si="3"/>
        <v/>
      </c>
      <c r="J30" s="10" t="str">
        <f t="shared" si="2"/>
        <v/>
      </c>
      <c r="K30" s="74">
        <f t="shared" si="4"/>
        <v>0.11399999999999999</v>
      </c>
      <c r="L30" s="74"/>
    </row>
    <row r="31" spans="2:14" x14ac:dyDescent="0.55000000000000004">
      <c r="F31" s="1">
        <v>28</v>
      </c>
      <c r="G31" s="10" t="str">
        <f t="shared" si="0"/>
        <v/>
      </c>
      <c r="H31" s="10" t="str">
        <f t="shared" si="1"/>
        <v/>
      </c>
      <c r="I31" s="10" t="str">
        <f t="shared" si="3"/>
        <v/>
      </c>
      <c r="J31" s="10" t="str">
        <f t="shared" si="2"/>
        <v/>
      </c>
      <c r="K31" s="74">
        <f t="shared" si="4"/>
        <v>0.11099999999999999</v>
      </c>
      <c r="L31" s="74"/>
    </row>
    <row r="32" spans="2:14" x14ac:dyDescent="0.55000000000000004">
      <c r="F32" s="1">
        <v>29</v>
      </c>
      <c r="G32" s="10" t="str">
        <f t="shared" si="0"/>
        <v/>
      </c>
      <c r="H32" s="10" t="str">
        <f t="shared" si="1"/>
        <v/>
      </c>
      <c r="I32" s="10" t="str">
        <f t="shared" si="3"/>
        <v/>
      </c>
      <c r="J32" s="10" t="str">
        <f t="shared" si="2"/>
        <v/>
      </c>
      <c r="K32" s="74">
        <f t="shared" si="4"/>
        <v>0.10799999999999998</v>
      </c>
      <c r="L32" s="74"/>
    </row>
    <row r="33" spans="6:12" x14ac:dyDescent="0.55000000000000004">
      <c r="F33" s="1">
        <v>30</v>
      </c>
      <c r="G33" s="10" t="str">
        <f t="shared" si="0"/>
        <v/>
      </c>
      <c r="H33" s="10" t="str">
        <f t="shared" si="1"/>
        <v/>
      </c>
      <c r="I33" s="10" t="str">
        <f t="shared" si="3"/>
        <v/>
      </c>
      <c r="J33" s="10" t="str">
        <f t="shared" si="2"/>
        <v/>
      </c>
      <c r="K33" s="74">
        <f t="shared" si="4"/>
        <v>0.105</v>
      </c>
      <c r="L33" s="74"/>
    </row>
    <row r="34" spans="6:12" x14ac:dyDescent="0.55000000000000004">
      <c r="F34" s="1">
        <v>31</v>
      </c>
      <c r="G34" s="10" t="str">
        <f t="shared" si="0"/>
        <v/>
      </c>
      <c r="H34" s="10" t="str">
        <f t="shared" si="1"/>
        <v/>
      </c>
      <c r="I34" s="10" t="str">
        <f t="shared" si="3"/>
        <v/>
      </c>
      <c r="J34" s="10" t="str">
        <f t="shared" si="2"/>
        <v/>
      </c>
      <c r="K34" s="74">
        <f t="shared" si="4"/>
        <v>0.10199999999999999</v>
      </c>
      <c r="L34" s="74"/>
    </row>
    <row r="35" spans="6:12" x14ac:dyDescent="0.55000000000000004">
      <c r="F35" s="1">
        <v>32</v>
      </c>
      <c r="G35" s="10" t="str">
        <f t="shared" si="0"/>
        <v/>
      </c>
      <c r="H35" s="10" t="str">
        <f t="shared" si="1"/>
        <v/>
      </c>
      <c r="I35" s="10" t="str">
        <f t="shared" si="3"/>
        <v/>
      </c>
      <c r="J35" s="10" t="str">
        <f t="shared" si="2"/>
        <v/>
      </c>
      <c r="K35" s="74">
        <f t="shared" si="4"/>
        <v>9.8999999999999991E-2</v>
      </c>
      <c r="L35" s="74"/>
    </row>
    <row r="36" spans="6:12" x14ac:dyDescent="0.55000000000000004">
      <c r="F36" s="1">
        <v>33</v>
      </c>
      <c r="G36" s="10" t="str">
        <f t="shared" si="0"/>
        <v/>
      </c>
      <c r="H36" s="10" t="str">
        <f t="shared" si="1"/>
        <v/>
      </c>
      <c r="I36" s="10" t="str">
        <f t="shared" si="3"/>
        <v/>
      </c>
      <c r="J36" s="10" t="str">
        <f t="shared" si="2"/>
        <v/>
      </c>
      <c r="K36" s="74">
        <f t="shared" si="4"/>
        <v>9.6000000000000002E-2</v>
      </c>
      <c r="L36" s="74"/>
    </row>
    <row r="37" spans="6:12" x14ac:dyDescent="0.55000000000000004">
      <c r="F37" s="1">
        <v>34</v>
      </c>
      <c r="G37" s="10" t="str">
        <f t="shared" si="0"/>
        <v/>
      </c>
      <c r="H37" s="10" t="str">
        <f t="shared" si="1"/>
        <v/>
      </c>
      <c r="I37" s="10" t="str">
        <f t="shared" si="3"/>
        <v/>
      </c>
      <c r="J37" s="10" t="str">
        <f t="shared" si="2"/>
        <v/>
      </c>
      <c r="K37" s="74">
        <f t="shared" si="4"/>
        <v>9.2999999999999999E-2</v>
      </c>
      <c r="L37" s="74"/>
    </row>
    <row r="38" spans="6:12" x14ac:dyDescent="0.55000000000000004">
      <c r="F38" s="1">
        <v>35</v>
      </c>
      <c r="G38" s="10" t="str">
        <f t="shared" si="0"/>
        <v/>
      </c>
      <c r="H38" s="10" t="str">
        <f t="shared" si="1"/>
        <v/>
      </c>
      <c r="I38" s="10" t="str">
        <f t="shared" si="3"/>
        <v/>
      </c>
      <c r="J38" s="10" t="str">
        <f t="shared" si="2"/>
        <v/>
      </c>
      <c r="K38" s="74">
        <f t="shared" si="4"/>
        <v>0.09</v>
      </c>
      <c r="L38" s="74"/>
    </row>
    <row r="39" spans="6:12" x14ac:dyDescent="0.55000000000000004">
      <c r="F39" s="1">
        <v>36</v>
      </c>
      <c r="G39" s="10" t="str">
        <f t="shared" si="0"/>
        <v/>
      </c>
      <c r="H39" s="10" t="str">
        <f t="shared" si="1"/>
        <v/>
      </c>
      <c r="I39" s="10" t="str">
        <f t="shared" si="3"/>
        <v/>
      </c>
      <c r="J39" s="10" t="str">
        <f t="shared" si="2"/>
        <v/>
      </c>
      <c r="K39" s="74">
        <v>0.09</v>
      </c>
      <c r="L39" s="74"/>
    </row>
    <row r="40" spans="6:12" x14ac:dyDescent="0.55000000000000004">
      <c r="F40" s="1">
        <v>37</v>
      </c>
      <c r="G40" s="10" t="str">
        <f t="shared" si="0"/>
        <v/>
      </c>
      <c r="H40" s="10" t="str">
        <f t="shared" si="1"/>
        <v/>
      </c>
      <c r="I40" s="10" t="str">
        <f t="shared" si="3"/>
        <v/>
      </c>
      <c r="J40" s="10" t="str">
        <f t="shared" si="2"/>
        <v/>
      </c>
      <c r="K40" s="74">
        <v>0.09</v>
      </c>
      <c r="L40" s="74"/>
    </row>
    <row r="41" spans="6:12" x14ac:dyDescent="0.55000000000000004">
      <c r="F41" s="1">
        <v>38</v>
      </c>
      <c r="G41" s="10" t="str">
        <f t="shared" si="0"/>
        <v/>
      </c>
      <c r="H41" s="10" t="str">
        <f t="shared" si="1"/>
        <v/>
      </c>
      <c r="I41" s="10" t="str">
        <f t="shared" si="3"/>
        <v/>
      </c>
      <c r="J41" s="10" t="str">
        <f t="shared" si="2"/>
        <v/>
      </c>
      <c r="K41" s="74">
        <v>0.09</v>
      </c>
      <c r="L41" s="74"/>
    </row>
    <row r="42" spans="6:12" x14ac:dyDescent="0.55000000000000004">
      <c r="F42" s="1">
        <v>39</v>
      </c>
      <c r="G42" s="10" t="str">
        <f t="shared" si="0"/>
        <v/>
      </c>
      <c r="H42" s="10" t="str">
        <f t="shared" si="1"/>
        <v/>
      </c>
      <c r="I42" s="10" t="str">
        <f t="shared" si="3"/>
        <v/>
      </c>
      <c r="J42" s="10" t="str">
        <f t="shared" si="2"/>
        <v/>
      </c>
      <c r="K42" s="74">
        <v>0.09</v>
      </c>
      <c r="L42" s="74"/>
    </row>
    <row r="43" spans="6:12" x14ac:dyDescent="0.55000000000000004">
      <c r="F43" s="1">
        <v>40</v>
      </c>
      <c r="G43" s="10" t="str">
        <f t="shared" si="0"/>
        <v/>
      </c>
      <c r="H43" s="10" t="str">
        <f t="shared" si="1"/>
        <v/>
      </c>
      <c r="I43" s="10" t="str">
        <f t="shared" si="3"/>
        <v/>
      </c>
      <c r="J43" s="10" t="str">
        <f t="shared" si="2"/>
        <v/>
      </c>
      <c r="K43" s="74">
        <v>0.09</v>
      </c>
      <c r="L43" s="74"/>
    </row>
    <row r="44" spans="6:12" x14ac:dyDescent="0.55000000000000004">
      <c r="F44" s="1">
        <v>41</v>
      </c>
      <c r="G44" s="10" t="str">
        <f t="shared" si="0"/>
        <v/>
      </c>
      <c r="H44" s="10" t="str">
        <f t="shared" si="1"/>
        <v/>
      </c>
      <c r="I44" s="10" t="str">
        <f t="shared" si="3"/>
        <v/>
      </c>
      <c r="J44" s="10" t="str">
        <f t="shared" si="2"/>
        <v/>
      </c>
      <c r="K44" s="74">
        <v>0.09</v>
      </c>
      <c r="L44" s="74"/>
    </row>
    <row r="45" spans="6:12" x14ac:dyDescent="0.55000000000000004">
      <c r="F45" s="1">
        <v>42</v>
      </c>
      <c r="G45" s="10" t="str">
        <f t="shared" si="0"/>
        <v/>
      </c>
      <c r="H45" s="10" t="str">
        <f t="shared" si="1"/>
        <v/>
      </c>
      <c r="I45" s="10" t="str">
        <f t="shared" si="3"/>
        <v/>
      </c>
      <c r="J45" s="10" t="str">
        <f t="shared" si="2"/>
        <v/>
      </c>
      <c r="K45" s="74">
        <v>0.09</v>
      </c>
      <c r="L45" s="74"/>
    </row>
    <row r="46" spans="6:12" x14ac:dyDescent="0.55000000000000004">
      <c r="F46" s="1">
        <v>43</v>
      </c>
      <c r="G46" s="10" t="str">
        <f t="shared" si="0"/>
        <v/>
      </c>
      <c r="H46" s="10" t="str">
        <f t="shared" si="1"/>
        <v/>
      </c>
      <c r="I46" s="10" t="str">
        <f t="shared" si="3"/>
        <v/>
      </c>
      <c r="J46" s="10" t="str">
        <f t="shared" si="2"/>
        <v/>
      </c>
      <c r="K46" s="74">
        <v>0.09</v>
      </c>
      <c r="L46" s="74"/>
    </row>
    <row r="47" spans="6:12" x14ac:dyDescent="0.55000000000000004">
      <c r="F47" s="1">
        <v>44</v>
      </c>
      <c r="G47" s="10" t="str">
        <f t="shared" si="0"/>
        <v/>
      </c>
      <c r="H47" s="10" t="str">
        <f t="shared" si="1"/>
        <v/>
      </c>
      <c r="I47" s="10" t="str">
        <f t="shared" si="3"/>
        <v/>
      </c>
      <c r="J47" s="10" t="str">
        <f t="shared" si="2"/>
        <v/>
      </c>
      <c r="K47" s="74">
        <v>0.09</v>
      </c>
      <c r="L47" s="74"/>
    </row>
    <row r="48" spans="6:12" x14ac:dyDescent="0.55000000000000004">
      <c r="F48" s="1">
        <v>45</v>
      </c>
      <c r="G48" s="10" t="str">
        <f t="shared" si="0"/>
        <v/>
      </c>
      <c r="H48" s="10" t="str">
        <f t="shared" si="1"/>
        <v/>
      </c>
      <c r="I48" s="10" t="str">
        <f t="shared" si="3"/>
        <v/>
      </c>
      <c r="J48" s="10" t="str">
        <f t="shared" si="2"/>
        <v/>
      </c>
      <c r="K48" s="74">
        <v>0.09</v>
      </c>
      <c r="L48" s="74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F94F7-C950-4868-A860-57622F25E880}">
  <dimension ref="A1:Q48"/>
  <sheetViews>
    <sheetView topLeftCell="A8" zoomScaleNormal="100" workbookViewId="0">
      <selection activeCell="C15" sqref="C15"/>
    </sheetView>
  </sheetViews>
  <sheetFormatPr defaultColWidth="8.89453125" defaultRowHeight="17.399999999999999" x14ac:dyDescent="0.55000000000000004"/>
  <cols>
    <col min="1" max="1" width="15.41796875" style="1" customWidth="1"/>
    <col min="2" max="2" width="48.1015625" style="1" bestFit="1" customWidth="1"/>
    <col min="3" max="3" width="19.68359375" style="1" bestFit="1" customWidth="1"/>
    <col min="4" max="4" width="16.68359375" style="1" bestFit="1" customWidth="1"/>
    <col min="5" max="5" width="4.68359375" style="1" customWidth="1"/>
    <col min="6" max="6" width="11.89453125" style="1" customWidth="1"/>
    <col min="7" max="7" width="20.3125" style="1" bestFit="1" customWidth="1"/>
    <col min="8" max="8" width="18" style="1" customWidth="1"/>
    <col min="9" max="9" width="24.7890625" style="1" bestFit="1" customWidth="1"/>
    <col min="10" max="10" width="18.1015625" style="1" bestFit="1" customWidth="1"/>
    <col min="11" max="11" width="17" style="1" customWidth="1"/>
    <col min="12" max="12" width="20.3125" style="1" customWidth="1"/>
    <col min="13" max="13" width="9.1015625" style="1" bestFit="1" customWidth="1"/>
    <col min="14" max="14" width="22" style="1" bestFit="1" customWidth="1"/>
    <col min="15" max="15" width="21.7890625" style="1" customWidth="1"/>
    <col min="16" max="16" width="14" style="1" bestFit="1" customWidth="1"/>
    <col min="17" max="17" width="13.41796875" style="1" bestFit="1" customWidth="1"/>
    <col min="18" max="16384" width="8.89453125" style="1"/>
  </cols>
  <sheetData>
    <row r="1" spans="1:17" ht="17.7" hidden="1" x14ac:dyDescent="0.6">
      <c r="A1" s="1" t="s">
        <v>57</v>
      </c>
      <c r="C1" s="23">
        <f>C4/0.7</f>
        <v>50000</v>
      </c>
      <c r="D1" s="10"/>
    </row>
    <row r="2" spans="1:17" ht="17.7" x14ac:dyDescent="0.6">
      <c r="C2" s="23"/>
      <c r="D2" s="10"/>
    </row>
    <row r="3" spans="1:17" ht="39" customHeight="1" x14ac:dyDescent="0.6">
      <c r="A3" s="1" t="s">
        <v>24</v>
      </c>
      <c r="B3" s="1" t="s">
        <v>25</v>
      </c>
      <c r="F3" s="76" t="s">
        <v>83</v>
      </c>
      <c r="G3" s="77" t="str">
        <f>B18</f>
        <v>Montante ETF</v>
      </c>
      <c r="H3" s="78" t="s">
        <v>95</v>
      </c>
      <c r="I3" s="78" t="s">
        <v>90</v>
      </c>
      <c r="J3" s="78" t="s">
        <v>94</v>
      </c>
      <c r="K3" s="78" t="s">
        <v>91</v>
      </c>
      <c r="N3" s="1" t="s">
        <v>26</v>
      </c>
      <c r="O3" s="1" t="s">
        <v>17</v>
      </c>
    </row>
    <row r="4" spans="1:17" ht="33.6" customHeight="1" x14ac:dyDescent="0.6">
      <c r="A4" s="1" t="s">
        <v>2</v>
      </c>
      <c r="B4" s="76" t="s">
        <v>40</v>
      </c>
      <c r="C4" s="48">
        <f>FPA!C4</f>
        <v>35000</v>
      </c>
      <c r="D4" s="2"/>
      <c r="F4" s="72">
        <f>C14-(C14-1)</f>
        <v>1</v>
      </c>
      <c r="G4" s="10">
        <f>$C$12</f>
        <v>3367.1761000000006</v>
      </c>
      <c r="H4" s="10">
        <f>G4</f>
        <v>3367.1761000000006</v>
      </c>
      <c r="I4" s="10">
        <f>$C$11</f>
        <v>5165</v>
      </c>
      <c r="J4" s="10">
        <f>IF(F4&lt;=$C$14,I4-F4*$C$11*K4,"")</f>
        <v>4390.25</v>
      </c>
      <c r="K4" s="74">
        <v>0.15</v>
      </c>
      <c r="L4" s="10"/>
      <c r="M4" s="1">
        <f>15000*O4</f>
        <v>3450</v>
      </c>
      <c r="N4" s="1" t="s">
        <v>7</v>
      </c>
      <c r="O4" s="3">
        <v>0.23</v>
      </c>
      <c r="P4" s="4"/>
    </row>
    <row r="5" spans="1:17" ht="17.7" x14ac:dyDescent="0.6">
      <c r="A5" s="1" t="s">
        <v>81</v>
      </c>
      <c r="B5" s="5" t="s">
        <v>51</v>
      </c>
      <c r="C5" s="6">
        <f>FPA!C5</f>
        <v>2417.4500000000003</v>
      </c>
      <c r="D5" s="2"/>
      <c r="F5" s="1">
        <v>2</v>
      </c>
      <c r="G5" s="10">
        <f>IF(F5&lt;=$C$14,$C$12+G4+G4*$C$16,"")</f>
        <v>6970.0545270000011</v>
      </c>
      <c r="H5" s="10">
        <f>IF(F5&lt;=$C$14,G5-((G5-F5*$C$12)*$C$19),"")</f>
        <v>6908.771921980001</v>
      </c>
      <c r="I5" s="10">
        <f>IF(F5&lt;=$C$14,$C$11+I4+I4*($C$15),"")</f>
        <v>10510.775</v>
      </c>
      <c r="J5" s="10">
        <f>IF(F5&lt;=$C$14,I5-F5*$C$11*K5,"")</f>
        <v>8961.2749999999996</v>
      </c>
      <c r="K5" s="74">
        <v>0.15</v>
      </c>
      <c r="L5" s="10"/>
      <c r="M5" s="1">
        <f>13000*O5</f>
        <v>3250</v>
      </c>
      <c r="N5" s="1" t="s">
        <v>8</v>
      </c>
      <c r="O5" s="3">
        <v>0.25</v>
      </c>
      <c r="P5" s="4"/>
    </row>
    <row r="6" spans="1:17" ht="17.7" x14ac:dyDescent="0.6">
      <c r="A6" s="1" t="s">
        <v>3</v>
      </c>
      <c r="B6" s="7" t="s">
        <v>0</v>
      </c>
      <c r="C6" s="8">
        <f>FPA!C6</f>
        <v>3216.5</v>
      </c>
      <c r="D6" s="68">
        <v>9.1899999999999996E-2</v>
      </c>
      <c r="F6" s="1">
        <v>3</v>
      </c>
      <c r="G6" s="10">
        <f t="shared" ref="G6:G23" si="0">IF(F6&lt;=$C$14,$C$12+G5+G5*$C$16,"")</f>
        <v>10825.134443890001</v>
      </c>
      <c r="H6" s="10">
        <f t="shared" ref="H6:H23" si="1">IF(F6&lt;=$C$14,G6-((G6-F6*$C$12)*$C$19),"")</f>
        <v>10636.996846478602</v>
      </c>
      <c r="I6" s="10">
        <f t="shared" ref="I6:I48" si="2">IF(F6&lt;=$C$14,$C$11+I5+I5*($C$15),"")</f>
        <v>16043.652125000001</v>
      </c>
      <c r="J6" s="10">
        <f t="shared" ref="J6:J48" si="3">IF(F6&lt;=$C$14,I6-F6*$C$11*K6,"")</f>
        <v>13719.402125000001</v>
      </c>
      <c r="K6" s="74">
        <v>0.15</v>
      </c>
      <c r="L6" s="10"/>
      <c r="M6" s="1">
        <f>(50000-28000)*O6</f>
        <v>7699.9999999999991</v>
      </c>
      <c r="N6" s="1" t="s">
        <v>9</v>
      </c>
      <c r="O6" s="3">
        <v>0.35</v>
      </c>
      <c r="P6" s="4"/>
    </row>
    <row r="7" spans="1:17" ht="17.7" x14ac:dyDescent="0.6">
      <c r="A7" s="1" t="s">
        <v>4</v>
      </c>
      <c r="B7" s="7" t="s">
        <v>1</v>
      </c>
      <c r="C7" s="8">
        <f>FPA!C7</f>
        <v>0</v>
      </c>
      <c r="D7" s="69"/>
      <c r="F7" s="1">
        <v>4</v>
      </c>
      <c r="G7" s="10">
        <f t="shared" si="0"/>
        <v>14950.069954962302</v>
      </c>
      <c r="H7" s="10">
        <f t="shared" si="1"/>
        <v>14564.914910672105</v>
      </c>
      <c r="I7" s="10">
        <f t="shared" si="2"/>
        <v>21770.179949375</v>
      </c>
      <c r="J7" s="10">
        <f t="shared" si="3"/>
        <v>18671.179949375</v>
      </c>
      <c r="K7" s="74">
        <v>0.15</v>
      </c>
      <c r="L7" s="10"/>
      <c r="N7" s="1" t="s">
        <v>10</v>
      </c>
      <c r="O7" s="3">
        <v>0.43</v>
      </c>
      <c r="P7" s="4"/>
      <c r="Q7" s="10"/>
    </row>
    <row r="8" spans="1:17" ht="17.7" x14ac:dyDescent="0.6">
      <c r="B8" s="7" t="s">
        <v>21</v>
      </c>
      <c r="C8" s="11">
        <f>FPA!C8</f>
        <v>3216.5</v>
      </c>
      <c r="D8" s="70"/>
      <c r="E8" s="4"/>
      <c r="F8" s="1">
        <v>5</v>
      </c>
      <c r="G8" s="10">
        <f t="shared" si="0"/>
        <v>19363.750951809663</v>
      </c>
      <c r="H8" s="10">
        <f t="shared" si="1"/>
        <v>18706.504634339151</v>
      </c>
      <c r="I8" s="10">
        <f t="shared" si="2"/>
        <v>27697.136247603125</v>
      </c>
      <c r="J8" s="10">
        <f t="shared" si="3"/>
        <v>23823.386247603125</v>
      </c>
      <c r="K8" s="74">
        <v>0.15</v>
      </c>
      <c r="L8" s="10"/>
      <c r="P8" s="4"/>
    </row>
    <row r="9" spans="1:17" ht="17.7" x14ac:dyDescent="0.6">
      <c r="B9" s="15" t="s">
        <v>5</v>
      </c>
      <c r="C9" s="16">
        <f>FPA!C9</f>
        <v>31783.5</v>
      </c>
      <c r="D9" s="71"/>
      <c r="F9" s="1">
        <v>6</v>
      </c>
      <c r="G9" s="10">
        <f t="shared" si="0"/>
        <v>24086.38961843634</v>
      </c>
      <c r="H9" s="10">
        <f t="shared" si="1"/>
        <v>23076.723033642891</v>
      </c>
      <c r="I9" s="10">
        <f t="shared" si="2"/>
        <v>33831.53601626923</v>
      </c>
      <c r="J9" s="10">
        <f t="shared" si="3"/>
        <v>29183.03601626923</v>
      </c>
      <c r="K9" s="74">
        <v>0.15</v>
      </c>
      <c r="L9" s="10"/>
      <c r="Q9" s="4"/>
    </row>
    <row r="10" spans="1:17" ht="17.7" x14ac:dyDescent="0.6">
      <c r="B10" s="15" t="s">
        <v>11</v>
      </c>
      <c r="C10" s="16">
        <f>FPA!C10</f>
        <v>8024.2250000000004</v>
      </c>
      <c r="D10" s="68"/>
      <c r="F10" s="1">
        <v>7</v>
      </c>
      <c r="G10" s="10">
        <f t="shared" si="0"/>
        <v>29139.612991726885</v>
      </c>
      <c r="H10" s="10">
        <f t="shared" si="1"/>
        <v>27691.574115877895</v>
      </c>
      <c r="I10" s="10">
        <f t="shared" si="2"/>
        <v>40180.639776838652</v>
      </c>
      <c r="J10" s="10">
        <f t="shared" si="3"/>
        <v>34757.389776838652</v>
      </c>
      <c r="K10" s="74">
        <v>0.15</v>
      </c>
      <c r="L10" s="10"/>
      <c r="Q10" s="4"/>
    </row>
    <row r="11" spans="1:17" ht="17.7" x14ac:dyDescent="0.6">
      <c r="B11" s="15" t="s">
        <v>92</v>
      </c>
      <c r="C11" s="16">
        <f>FPA!F3</f>
        <v>5165</v>
      </c>
      <c r="D11" s="24"/>
      <c r="F11" s="1">
        <v>8</v>
      </c>
      <c r="G11" s="10">
        <f t="shared" si="0"/>
        <v>34546.562001147766</v>
      </c>
      <c r="H11" s="10">
        <f t="shared" si="1"/>
        <v>32568.182168849347</v>
      </c>
      <c r="I11" s="10">
        <f t="shared" si="2"/>
        <v>46751.962169028004</v>
      </c>
      <c r="J11" s="10">
        <f t="shared" si="3"/>
        <v>40553.962169028004</v>
      </c>
      <c r="K11" s="74">
        <v>0.15</v>
      </c>
      <c r="L11" s="10"/>
      <c r="Q11" s="4"/>
    </row>
    <row r="12" spans="1:17" ht="17.7" x14ac:dyDescent="0.6">
      <c r="B12" s="15" t="s">
        <v>93</v>
      </c>
      <c r="C12" s="16">
        <f>FPA!F21</f>
        <v>3367.1761000000006</v>
      </c>
      <c r="F12" s="1">
        <v>9</v>
      </c>
      <c r="G12" s="10">
        <f t="shared" si="0"/>
        <v>40331.997441228115</v>
      </c>
      <c r="H12" s="10">
        <f t="shared" si="1"/>
        <v>37724.870180508806</v>
      </c>
      <c r="I12" s="10">
        <f t="shared" si="2"/>
        <v>53553.280844943984</v>
      </c>
      <c r="J12" s="10">
        <f t="shared" si="3"/>
        <v>46580.530844943984</v>
      </c>
      <c r="K12" s="74">
        <v>0.15</v>
      </c>
      <c r="L12" s="10"/>
    </row>
    <row r="13" spans="1:17" ht="18.600000000000001" customHeight="1" x14ac:dyDescent="0.6">
      <c r="B13" s="15"/>
      <c r="C13" s="16"/>
      <c r="F13" s="1">
        <v>10</v>
      </c>
      <c r="G13" s="10">
        <f t="shared" si="0"/>
        <v>46522.413362114079</v>
      </c>
      <c r="H13" s="10">
        <f t="shared" si="1"/>
        <v>43181.243747964421</v>
      </c>
      <c r="I13" s="10">
        <f t="shared" si="2"/>
        <v>60592.645674517022</v>
      </c>
      <c r="J13" s="10">
        <f t="shared" si="3"/>
        <v>52845.145674517022</v>
      </c>
      <c r="K13" s="74">
        <v>0.15</v>
      </c>
      <c r="L13" s="10"/>
    </row>
    <row r="14" spans="1:17" ht="18.600000000000001" customHeight="1" x14ac:dyDescent="0.6">
      <c r="A14" s="1" t="s">
        <v>80</v>
      </c>
      <c r="B14" s="65" t="s">
        <v>69</v>
      </c>
      <c r="C14" s="85">
        <v>25</v>
      </c>
      <c r="E14" s="10"/>
      <c r="F14" s="1">
        <v>11</v>
      </c>
      <c r="G14" s="10">
        <f t="shared" ref="G14" si="4">IF(F14&lt;=$C$14,$C$12+G13+G13*$C$16,"")</f>
        <v>53146.158397462059</v>
      </c>
      <c r="H14" s="10">
        <f t="shared" ref="H14" si="5">IF(F14&lt;=$C$14,G14-((G14-F14*$C$12)*$C$19),"")</f>
        <v>48958.280860121929</v>
      </c>
      <c r="I14" s="10">
        <f t="shared" si="2"/>
        <v>67878.388273125121</v>
      </c>
      <c r="J14" s="10">
        <f t="shared" si="3"/>
        <v>59356.138273125121</v>
      </c>
      <c r="K14" s="74">
        <v>0.15</v>
      </c>
      <c r="L14" s="10"/>
    </row>
    <row r="15" spans="1:17" ht="32.549999999999997" customHeight="1" x14ac:dyDescent="0.6">
      <c r="A15" s="1" t="s">
        <v>79</v>
      </c>
      <c r="B15" s="63" t="s">
        <v>96</v>
      </c>
      <c r="C15" s="86">
        <v>3.5000000000000003E-2</v>
      </c>
      <c r="D15" s="10"/>
      <c r="F15" s="1">
        <v>12</v>
      </c>
      <c r="G15" s="10">
        <f t="shared" si="0"/>
        <v>60233.565585284399</v>
      </c>
      <c r="H15" s="10">
        <f t="shared" si="1"/>
        <v>55078.427965110459</v>
      </c>
      <c r="I15" s="10">
        <f t="shared" si="2"/>
        <v>75419.131862684502</v>
      </c>
      <c r="J15" s="10">
        <f t="shared" si="3"/>
        <v>66122.131862684502</v>
      </c>
      <c r="K15" s="74">
        <v>0.15</v>
      </c>
      <c r="L15" s="10"/>
    </row>
    <row r="16" spans="1:17" ht="18.600000000000001" customHeight="1" x14ac:dyDescent="0.6">
      <c r="A16" s="1" t="s">
        <v>79</v>
      </c>
      <c r="B16" s="66" t="s">
        <v>97</v>
      </c>
      <c r="C16" s="86">
        <v>7.0000000000000007E-2</v>
      </c>
      <c r="F16" s="1">
        <v>13</v>
      </c>
      <c r="G16" s="10">
        <f t="shared" si="0"/>
        <v>67817.091276254316</v>
      </c>
      <c r="H16" s="10">
        <f t="shared" si="1"/>
        <v>61565.702762428191</v>
      </c>
      <c r="I16" s="10">
        <f t="shared" si="2"/>
        <v>83223.801477878456</v>
      </c>
      <c r="J16" s="10">
        <f t="shared" si="3"/>
        <v>73152.051477878456</v>
      </c>
      <c r="K16" s="74">
        <v>0.15</v>
      </c>
      <c r="L16" s="10"/>
    </row>
    <row r="17" spans="1:14" ht="18.600000000000001" customHeight="1" x14ac:dyDescent="0.55000000000000004">
      <c r="A17" s="1" t="s">
        <v>79</v>
      </c>
      <c r="B17"/>
      <c r="C17"/>
      <c r="F17" s="1">
        <v>14</v>
      </c>
      <c r="G17" s="10">
        <f t="shared" si="0"/>
        <v>75931.463765592111</v>
      </c>
      <c r="H17" s="10">
        <f t="shared" si="1"/>
        <v>68445.804190538169</v>
      </c>
      <c r="I17" s="10">
        <f t="shared" si="2"/>
        <v>91301.634529604198</v>
      </c>
      <c r="J17" s="10">
        <f t="shared" si="3"/>
        <v>80455.134529604198</v>
      </c>
      <c r="K17" s="74">
        <v>0.15</v>
      </c>
      <c r="L17" s="10"/>
      <c r="N17" s="21"/>
    </row>
    <row r="18" spans="1:14" ht="18.600000000000001" customHeight="1" x14ac:dyDescent="0.55000000000000004">
      <c r="B18" s="66" t="s">
        <v>85</v>
      </c>
      <c r="C18" s="67">
        <f>C12*((((1+C16)^C14)-1)/C16)</f>
        <v>212970.64814545287</v>
      </c>
      <c r="D18" s="10"/>
      <c r="F18" s="1">
        <v>15</v>
      </c>
      <c r="G18" s="10">
        <f t="shared" si="0"/>
        <v>84613.84232918355</v>
      </c>
      <c r="H18" s="10">
        <f t="shared" si="1"/>
        <v>75746.230113595826</v>
      </c>
      <c r="I18" s="10">
        <f t="shared" si="2"/>
        <v>99662.191738140347</v>
      </c>
      <c r="J18" s="10">
        <f t="shared" si="3"/>
        <v>88040.941738140347</v>
      </c>
      <c r="K18" s="74">
        <v>0.15</v>
      </c>
      <c r="L18" s="10"/>
    </row>
    <row r="19" spans="1:14" ht="18.600000000000001" customHeight="1" x14ac:dyDescent="0.55000000000000004">
      <c r="B19" s="66" t="s">
        <v>87</v>
      </c>
      <c r="C19" s="73">
        <v>0.26</v>
      </c>
      <c r="F19" s="1">
        <v>16</v>
      </c>
      <c r="G19" s="10">
        <f t="shared" si="0"/>
        <v>93903.987392226394</v>
      </c>
      <c r="H19" s="10">
        <f t="shared" si="1"/>
        <v>83496.40324624753</v>
      </c>
      <c r="I19" s="10">
        <f t="shared" si="2"/>
        <v>108315.36844897526</v>
      </c>
      <c r="J19" s="10">
        <f t="shared" si="3"/>
        <v>96167.288448975261</v>
      </c>
      <c r="K19" s="74">
        <f>15%-((F19-15)*0.3%)</f>
        <v>0.14699999999999999</v>
      </c>
      <c r="L19" s="10"/>
    </row>
    <row r="20" spans="1:14" ht="18.600000000000001" customHeight="1" x14ac:dyDescent="0.55000000000000004">
      <c r="B20" s="66" t="s">
        <v>89</v>
      </c>
      <c r="C20" s="67">
        <f>C18-(C14*C12)</f>
        <v>128791.24564545286</v>
      </c>
      <c r="F20" s="1">
        <v>17</v>
      </c>
      <c r="G20" s="10">
        <f t="shared" si="0"/>
        <v>103844.44260968224</v>
      </c>
      <c r="H20" s="10">
        <f t="shared" si="1"/>
        <v>91727.805893164856</v>
      </c>
      <c r="I20" s="10">
        <f t="shared" si="2"/>
        <v>117271.4063446894</v>
      </c>
      <c r="J20" s="10">
        <f t="shared" si="3"/>
        <v>104627.4863446894</v>
      </c>
      <c r="K20" s="74">
        <f t="shared" ref="K20:K38" si="6">15%-((F20-15)*0.3%)</f>
        <v>0.14399999999999999</v>
      </c>
      <c r="L20" s="10"/>
    </row>
    <row r="21" spans="1:14" ht="18.600000000000001" customHeight="1" x14ac:dyDescent="0.55000000000000004">
      <c r="B21" s="66" t="s">
        <v>88</v>
      </c>
      <c r="C21" s="67">
        <f>C20*C19</f>
        <v>33485.723867817745</v>
      </c>
      <c r="F21" s="1">
        <v>18</v>
      </c>
      <c r="G21" s="10">
        <f t="shared" si="0"/>
        <v>114480.72969235999</v>
      </c>
      <c r="H21" s="10">
        <f t="shared" si="1"/>
        <v>100474.1241203464</v>
      </c>
      <c r="I21" s="10">
        <f t="shared" si="2"/>
        <v>126540.90556675353</v>
      </c>
      <c r="J21" s="10">
        <f t="shared" si="3"/>
        <v>113432.13556675352</v>
      </c>
      <c r="K21" s="74">
        <f t="shared" si="6"/>
        <v>0.14099999999999999</v>
      </c>
      <c r="L21" s="10"/>
    </row>
    <row r="22" spans="1:14" ht="18.600000000000001" customHeight="1" x14ac:dyDescent="0.55000000000000004">
      <c r="B22" s="66" t="s">
        <v>86</v>
      </c>
      <c r="C22" s="67">
        <f>C18-C21</f>
        <v>179484.92427763512</v>
      </c>
      <c r="F22" s="1">
        <v>19</v>
      </c>
      <c r="G22" s="10">
        <f t="shared" si="0"/>
        <v>125861.5568708252</v>
      </c>
      <c r="H22" s="10">
        <f t="shared" si="1"/>
        <v>109771.40201841065</v>
      </c>
      <c r="I22" s="10">
        <f t="shared" si="2"/>
        <v>136134.83726158991</v>
      </c>
      <c r="J22" s="10">
        <f t="shared" si="3"/>
        <v>122592.20726158991</v>
      </c>
      <c r="K22" s="74">
        <f t="shared" si="6"/>
        <v>0.13799999999999998</v>
      </c>
      <c r="L22" s="10"/>
    </row>
    <row r="23" spans="1:14" ht="18.600000000000001" customHeight="1" x14ac:dyDescent="0.55000000000000004">
      <c r="B23" s="66"/>
      <c r="C23" s="67"/>
      <c r="F23" s="1">
        <v>20</v>
      </c>
      <c r="G23" s="10">
        <f t="shared" si="0"/>
        <v>138039.04195178294</v>
      </c>
      <c r="H23" s="10">
        <f t="shared" si="1"/>
        <v>119658.20676431939</v>
      </c>
      <c r="I23" s="10">
        <f t="shared" si="2"/>
        <v>146064.55656574556</v>
      </c>
      <c r="J23" s="10">
        <f t="shared" si="3"/>
        <v>132119.05656574556</v>
      </c>
      <c r="K23" s="74">
        <f t="shared" si="6"/>
        <v>0.13500000000000001</v>
      </c>
      <c r="L23" s="10"/>
    </row>
    <row r="24" spans="1:14" ht="18.600000000000001" customHeight="1" x14ac:dyDescent="0.55000000000000004">
      <c r="B24" s="66" t="s">
        <v>90</v>
      </c>
      <c r="C24" s="67">
        <f>C11*((((1+C15)^C14)-1)/(C15))</f>
        <v>201176.0098211217</v>
      </c>
      <c r="F24" s="1">
        <v>21</v>
      </c>
      <c r="G24" s="10">
        <f t="shared" ref="G24:G48" si="7">IF(F24&lt;=$C$14,$C$12+G23+G23*$C$16,"")</f>
        <v>151068.95098840777</v>
      </c>
      <c r="H24" s="10">
        <f t="shared" ref="H24:H48" si="8">IF(F24&lt;=$C$14,G24-((G24-F24*$C$12)*$C$19),"")</f>
        <v>130175.80523742175</v>
      </c>
      <c r="I24" s="10">
        <f t="shared" si="2"/>
        <v>156341.81604554664</v>
      </c>
      <c r="J24" s="10">
        <f t="shared" si="3"/>
        <v>142024.43604554664</v>
      </c>
      <c r="K24" s="74">
        <f t="shared" si="6"/>
        <v>0.13200000000000001</v>
      </c>
      <c r="L24" s="10"/>
    </row>
    <row r="25" spans="1:14" ht="18.600000000000001" customHeight="1" x14ac:dyDescent="0.55000000000000004">
      <c r="B25" s="66" t="s">
        <v>84</v>
      </c>
      <c r="C25" s="73">
        <f>VLOOKUP(C14,F:K,6,FALSE)</f>
        <v>0.12</v>
      </c>
      <c r="F25" s="1">
        <v>22</v>
      </c>
      <c r="G25" s="10">
        <f t="shared" si="7"/>
        <v>165010.95365759631</v>
      </c>
      <c r="H25" s="10">
        <f t="shared" si="8"/>
        <v>141368.35299862127</v>
      </c>
      <c r="I25" s="10">
        <f t="shared" si="2"/>
        <v>166978.77960714078</v>
      </c>
      <c r="J25" s="10">
        <f t="shared" si="3"/>
        <v>152320.50960714079</v>
      </c>
      <c r="K25" s="74">
        <f t="shared" si="6"/>
        <v>0.129</v>
      </c>
      <c r="L25" s="10"/>
    </row>
    <row r="26" spans="1:14" x14ac:dyDescent="0.55000000000000004">
      <c r="B26" s="66" t="s">
        <v>73</v>
      </c>
      <c r="C26" s="67">
        <f>(C11*C14)*C25</f>
        <v>15495</v>
      </c>
      <c r="F26" s="1">
        <v>23</v>
      </c>
      <c r="G26" s="10">
        <f t="shared" si="7"/>
        <v>179928.89651362807</v>
      </c>
      <c r="H26" s="10">
        <f t="shared" si="8"/>
        <v>153283.09649808478</v>
      </c>
      <c r="I26" s="10">
        <f t="shared" si="2"/>
        <v>177988.0368933907</v>
      </c>
      <c r="J26" s="10">
        <f t="shared" si="3"/>
        <v>163019.86689339069</v>
      </c>
      <c r="K26" s="74">
        <f t="shared" si="6"/>
        <v>0.126</v>
      </c>
      <c r="L26" s="10"/>
    </row>
    <row r="27" spans="1:14" x14ac:dyDescent="0.55000000000000004">
      <c r="B27" s="66" t="s">
        <v>98</v>
      </c>
      <c r="C27" s="67">
        <f>C24-C26</f>
        <v>185681.0098211217</v>
      </c>
      <c r="F27" s="1">
        <v>24</v>
      </c>
      <c r="G27" s="10">
        <f t="shared" si="7"/>
        <v>195891.09536958206</v>
      </c>
      <c r="H27" s="10">
        <f t="shared" si="8"/>
        <v>165970.58943749074</v>
      </c>
      <c r="I27" s="10">
        <f t="shared" si="2"/>
        <v>189382.61818465937</v>
      </c>
      <c r="J27" s="10">
        <f t="shared" si="3"/>
        <v>174135.53818465938</v>
      </c>
      <c r="K27" s="74">
        <f t="shared" si="6"/>
        <v>0.123</v>
      </c>
      <c r="L27" s="10"/>
    </row>
    <row r="28" spans="1:14" x14ac:dyDescent="0.55000000000000004">
      <c r="F28" s="1">
        <v>25</v>
      </c>
      <c r="G28" s="10">
        <f t="shared" si="7"/>
        <v>212970.64814545281</v>
      </c>
      <c r="H28" s="10">
        <f t="shared" si="8"/>
        <v>179484.92427763509</v>
      </c>
      <c r="I28" s="10">
        <f t="shared" si="2"/>
        <v>201176.00982112245</v>
      </c>
      <c r="J28" s="10">
        <f t="shared" si="3"/>
        <v>185681.00982112245</v>
      </c>
      <c r="K28" s="74">
        <f t="shared" si="6"/>
        <v>0.12</v>
      </c>
      <c r="L28" s="10"/>
    </row>
    <row r="29" spans="1:14" x14ac:dyDescent="0.55000000000000004">
      <c r="F29" s="1">
        <v>26</v>
      </c>
      <c r="G29" s="10" t="str">
        <f t="shared" si="7"/>
        <v/>
      </c>
      <c r="H29" s="10" t="str">
        <f t="shared" si="8"/>
        <v/>
      </c>
      <c r="I29" s="10" t="str">
        <f t="shared" si="2"/>
        <v/>
      </c>
      <c r="J29" s="10" t="str">
        <f t="shared" si="3"/>
        <v/>
      </c>
      <c r="K29" s="74">
        <f t="shared" si="6"/>
        <v>0.11699999999999999</v>
      </c>
      <c r="L29" s="10"/>
    </row>
    <row r="30" spans="1:14" x14ac:dyDescent="0.55000000000000004">
      <c r="F30" s="1">
        <v>27</v>
      </c>
      <c r="G30" s="10" t="str">
        <f t="shared" si="7"/>
        <v/>
      </c>
      <c r="H30" s="10" t="str">
        <f t="shared" si="8"/>
        <v/>
      </c>
      <c r="I30" s="10" t="str">
        <f t="shared" si="2"/>
        <v/>
      </c>
      <c r="J30" s="10" t="str">
        <f t="shared" si="3"/>
        <v/>
      </c>
      <c r="K30" s="74">
        <f t="shared" si="6"/>
        <v>0.11399999999999999</v>
      </c>
      <c r="L30" s="10"/>
    </row>
    <row r="31" spans="1:14" x14ac:dyDescent="0.55000000000000004">
      <c r="F31" s="1">
        <v>28</v>
      </c>
      <c r="G31" s="10" t="str">
        <f t="shared" si="7"/>
        <v/>
      </c>
      <c r="H31" s="10" t="str">
        <f t="shared" si="8"/>
        <v/>
      </c>
      <c r="I31" s="10" t="str">
        <f t="shared" si="2"/>
        <v/>
      </c>
      <c r="J31" s="10" t="str">
        <f t="shared" si="3"/>
        <v/>
      </c>
      <c r="K31" s="74">
        <f t="shared" si="6"/>
        <v>0.11099999999999999</v>
      </c>
      <c r="L31" s="10"/>
    </row>
    <row r="32" spans="1:14" x14ac:dyDescent="0.55000000000000004">
      <c r="F32" s="1">
        <v>29</v>
      </c>
      <c r="G32" s="10" t="str">
        <f t="shared" si="7"/>
        <v/>
      </c>
      <c r="H32" s="10" t="str">
        <f t="shared" si="8"/>
        <v/>
      </c>
      <c r="I32" s="10" t="str">
        <f t="shared" si="2"/>
        <v/>
      </c>
      <c r="J32" s="10" t="str">
        <f t="shared" si="3"/>
        <v/>
      </c>
      <c r="K32" s="74">
        <f t="shared" si="6"/>
        <v>0.10799999999999998</v>
      </c>
      <c r="L32" s="10"/>
    </row>
    <row r="33" spans="6:12" x14ac:dyDescent="0.55000000000000004">
      <c r="F33" s="1">
        <v>30</v>
      </c>
      <c r="G33" s="10" t="str">
        <f t="shared" si="7"/>
        <v/>
      </c>
      <c r="H33" s="10" t="str">
        <f t="shared" si="8"/>
        <v/>
      </c>
      <c r="I33" s="10" t="str">
        <f t="shared" si="2"/>
        <v/>
      </c>
      <c r="J33" s="10" t="str">
        <f t="shared" si="3"/>
        <v/>
      </c>
      <c r="K33" s="74">
        <f t="shared" si="6"/>
        <v>0.105</v>
      </c>
      <c r="L33" s="10"/>
    </row>
    <row r="34" spans="6:12" x14ac:dyDescent="0.55000000000000004">
      <c r="F34" s="1">
        <v>31</v>
      </c>
      <c r="G34" s="10" t="str">
        <f t="shared" si="7"/>
        <v/>
      </c>
      <c r="H34" s="10" t="str">
        <f t="shared" si="8"/>
        <v/>
      </c>
      <c r="I34" s="10" t="str">
        <f t="shared" si="2"/>
        <v/>
      </c>
      <c r="J34" s="10" t="str">
        <f t="shared" si="3"/>
        <v/>
      </c>
      <c r="K34" s="74">
        <f t="shared" si="6"/>
        <v>0.10199999999999999</v>
      </c>
      <c r="L34" s="10"/>
    </row>
    <row r="35" spans="6:12" x14ac:dyDescent="0.55000000000000004">
      <c r="F35" s="1">
        <v>32</v>
      </c>
      <c r="G35" s="10" t="str">
        <f t="shared" si="7"/>
        <v/>
      </c>
      <c r="H35" s="10" t="str">
        <f t="shared" si="8"/>
        <v/>
      </c>
      <c r="I35" s="10" t="str">
        <f t="shared" si="2"/>
        <v/>
      </c>
      <c r="J35" s="10" t="str">
        <f t="shared" si="3"/>
        <v/>
      </c>
      <c r="K35" s="74">
        <f t="shared" si="6"/>
        <v>9.8999999999999991E-2</v>
      </c>
      <c r="L35" s="10"/>
    </row>
    <row r="36" spans="6:12" x14ac:dyDescent="0.55000000000000004">
      <c r="F36" s="1">
        <v>33</v>
      </c>
      <c r="G36" s="10" t="str">
        <f t="shared" si="7"/>
        <v/>
      </c>
      <c r="H36" s="10" t="str">
        <f t="shared" si="8"/>
        <v/>
      </c>
      <c r="I36" s="10" t="str">
        <f t="shared" si="2"/>
        <v/>
      </c>
      <c r="J36" s="10" t="str">
        <f t="shared" si="3"/>
        <v/>
      </c>
      <c r="K36" s="74">
        <f t="shared" si="6"/>
        <v>9.6000000000000002E-2</v>
      </c>
      <c r="L36" s="10"/>
    </row>
    <row r="37" spans="6:12" x14ac:dyDescent="0.55000000000000004">
      <c r="F37" s="1">
        <v>34</v>
      </c>
      <c r="G37" s="10" t="str">
        <f t="shared" si="7"/>
        <v/>
      </c>
      <c r="H37" s="10" t="str">
        <f t="shared" si="8"/>
        <v/>
      </c>
      <c r="I37" s="10" t="str">
        <f t="shared" si="2"/>
        <v/>
      </c>
      <c r="J37" s="10" t="str">
        <f t="shared" si="3"/>
        <v/>
      </c>
      <c r="K37" s="74">
        <f t="shared" si="6"/>
        <v>9.2999999999999999E-2</v>
      </c>
      <c r="L37" s="10"/>
    </row>
    <row r="38" spans="6:12" x14ac:dyDescent="0.55000000000000004">
      <c r="F38" s="1">
        <v>35</v>
      </c>
      <c r="G38" s="10" t="str">
        <f t="shared" si="7"/>
        <v/>
      </c>
      <c r="H38" s="10" t="str">
        <f t="shared" si="8"/>
        <v/>
      </c>
      <c r="I38" s="10" t="str">
        <f t="shared" si="2"/>
        <v/>
      </c>
      <c r="J38" s="10" t="str">
        <f t="shared" si="3"/>
        <v/>
      </c>
      <c r="K38" s="74">
        <f t="shared" si="6"/>
        <v>0.09</v>
      </c>
      <c r="L38" s="10"/>
    </row>
    <row r="39" spans="6:12" x14ac:dyDescent="0.55000000000000004">
      <c r="F39" s="1">
        <v>36</v>
      </c>
      <c r="G39" s="10" t="str">
        <f t="shared" si="7"/>
        <v/>
      </c>
      <c r="H39" s="10" t="str">
        <f t="shared" si="8"/>
        <v/>
      </c>
      <c r="I39" s="10" t="str">
        <f t="shared" si="2"/>
        <v/>
      </c>
      <c r="J39" s="10" t="str">
        <f t="shared" si="3"/>
        <v/>
      </c>
      <c r="K39" s="74">
        <v>0.09</v>
      </c>
      <c r="L39" s="10"/>
    </row>
    <row r="40" spans="6:12" x14ac:dyDescent="0.55000000000000004">
      <c r="F40" s="1">
        <v>37</v>
      </c>
      <c r="G40" s="10" t="str">
        <f t="shared" si="7"/>
        <v/>
      </c>
      <c r="H40" s="10" t="str">
        <f t="shared" si="8"/>
        <v/>
      </c>
      <c r="I40" s="10" t="str">
        <f t="shared" si="2"/>
        <v/>
      </c>
      <c r="J40" s="10" t="str">
        <f t="shared" si="3"/>
        <v/>
      </c>
      <c r="K40" s="74">
        <v>0.09</v>
      </c>
      <c r="L40" s="10"/>
    </row>
    <row r="41" spans="6:12" x14ac:dyDescent="0.55000000000000004">
      <c r="F41" s="1">
        <v>38</v>
      </c>
      <c r="G41" s="10" t="str">
        <f t="shared" si="7"/>
        <v/>
      </c>
      <c r="H41" s="10" t="str">
        <f t="shared" si="8"/>
        <v/>
      </c>
      <c r="I41" s="10" t="str">
        <f t="shared" si="2"/>
        <v/>
      </c>
      <c r="J41" s="10" t="str">
        <f t="shared" si="3"/>
        <v/>
      </c>
      <c r="K41" s="74">
        <v>0.09</v>
      </c>
      <c r="L41" s="10"/>
    </row>
    <row r="42" spans="6:12" x14ac:dyDescent="0.55000000000000004">
      <c r="F42" s="1">
        <v>39</v>
      </c>
      <c r="G42" s="10" t="str">
        <f t="shared" si="7"/>
        <v/>
      </c>
      <c r="H42" s="10" t="str">
        <f t="shared" si="8"/>
        <v/>
      </c>
      <c r="I42" s="10" t="str">
        <f t="shared" si="2"/>
        <v/>
      </c>
      <c r="J42" s="10" t="str">
        <f t="shared" si="3"/>
        <v/>
      </c>
      <c r="K42" s="74">
        <v>0.09</v>
      </c>
      <c r="L42" s="10"/>
    </row>
    <row r="43" spans="6:12" x14ac:dyDescent="0.55000000000000004">
      <c r="F43" s="1">
        <v>40</v>
      </c>
      <c r="G43" s="10" t="str">
        <f t="shared" si="7"/>
        <v/>
      </c>
      <c r="H43" s="10" t="str">
        <f t="shared" si="8"/>
        <v/>
      </c>
      <c r="I43" s="10" t="str">
        <f t="shared" si="2"/>
        <v/>
      </c>
      <c r="J43" s="10" t="str">
        <f t="shared" si="3"/>
        <v/>
      </c>
      <c r="K43" s="74">
        <v>0.09</v>
      </c>
      <c r="L43" s="10"/>
    </row>
    <row r="44" spans="6:12" x14ac:dyDescent="0.55000000000000004">
      <c r="F44" s="1">
        <v>41</v>
      </c>
      <c r="G44" s="10" t="str">
        <f t="shared" si="7"/>
        <v/>
      </c>
      <c r="H44" s="10" t="str">
        <f t="shared" si="8"/>
        <v/>
      </c>
      <c r="I44" s="10" t="str">
        <f t="shared" si="2"/>
        <v/>
      </c>
      <c r="J44" s="10" t="str">
        <f t="shared" si="3"/>
        <v/>
      </c>
      <c r="K44" s="74">
        <v>0.09</v>
      </c>
      <c r="L44" s="10"/>
    </row>
    <row r="45" spans="6:12" x14ac:dyDescent="0.55000000000000004">
      <c r="F45" s="1">
        <v>42</v>
      </c>
      <c r="G45" s="10" t="str">
        <f t="shared" si="7"/>
        <v/>
      </c>
      <c r="H45" s="10" t="str">
        <f t="shared" si="8"/>
        <v/>
      </c>
      <c r="I45" s="10" t="str">
        <f t="shared" si="2"/>
        <v/>
      </c>
      <c r="J45" s="10" t="str">
        <f t="shared" si="3"/>
        <v/>
      </c>
      <c r="K45" s="74">
        <v>0.09</v>
      </c>
      <c r="L45" s="10"/>
    </row>
    <row r="46" spans="6:12" x14ac:dyDescent="0.55000000000000004">
      <c r="F46" s="1">
        <v>43</v>
      </c>
      <c r="G46" s="10" t="str">
        <f t="shared" si="7"/>
        <v/>
      </c>
      <c r="H46" s="10" t="str">
        <f t="shared" si="8"/>
        <v/>
      </c>
      <c r="I46" s="10" t="str">
        <f t="shared" si="2"/>
        <v/>
      </c>
      <c r="J46" s="10" t="str">
        <f t="shared" si="3"/>
        <v/>
      </c>
      <c r="K46" s="74">
        <v>0.09</v>
      </c>
      <c r="L46" s="10"/>
    </row>
    <row r="47" spans="6:12" x14ac:dyDescent="0.55000000000000004">
      <c r="F47" s="1">
        <v>44</v>
      </c>
      <c r="G47" s="10" t="str">
        <f t="shared" si="7"/>
        <v/>
      </c>
      <c r="H47" s="10" t="str">
        <f t="shared" si="8"/>
        <v/>
      </c>
      <c r="I47" s="10" t="str">
        <f t="shared" si="2"/>
        <v/>
      </c>
      <c r="J47" s="10" t="str">
        <f t="shared" si="3"/>
        <v/>
      </c>
      <c r="K47" s="74">
        <v>0.09</v>
      </c>
      <c r="L47" s="10"/>
    </row>
    <row r="48" spans="6:12" x14ac:dyDescent="0.55000000000000004">
      <c r="F48" s="1">
        <v>45</v>
      </c>
      <c r="G48" s="10" t="str">
        <f t="shared" si="7"/>
        <v/>
      </c>
      <c r="H48" s="10" t="str">
        <f t="shared" si="8"/>
        <v/>
      </c>
      <c r="I48" s="10" t="str">
        <f t="shared" si="2"/>
        <v/>
      </c>
      <c r="J48" s="10" t="str">
        <f t="shared" si="3"/>
        <v/>
      </c>
      <c r="K48" s="74">
        <v>0.09</v>
      </c>
      <c r="L48" s="10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3B4EB-027A-4F1D-99CD-B37DB2FB6909}">
  <dimension ref="A1:Q68"/>
  <sheetViews>
    <sheetView topLeftCell="G3" workbookViewId="0">
      <selection activeCell="I21" sqref="I21:J85"/>
    </sheetView>
  </sheetViews>
  <sheetFormatPr defaultColWidth="8.89453125" defaultRowHeight="17.399999999999999" x14ac:dyDescent="0.55000000000000004"/>
  <cols>
    <col min="1" max="1" width="15.41796875" style="1" customWidth="1"/>
    <col min="2" max="2" width="44.1015625" style="1" customWidth="1"/>
    <col min="3" max="3" width="19.68359375" style="1" bestFit="1" customWidth="1"/>
    <col min="4" max="4" width="16.68359375" style="1" bestFit="1" customWidth="1"/>
    <col min="5" max="5" width="4.68359375" style="1" customWidth="1"/>
    <col min="6" max="6" width="11.89453125" style="1" customWidth="1"/>
    <col min="7" max="7" width="23.20703125" style="1" customWidth="1"/>
    <col min="8" max="10" width="20.3125" style="1" bestFit="1" customWidth="1"/>
    <col min="11" max="11" width="17" style="1" customWidth="1"/>
    <col min="12" max="12" width="20.3125" style="1" customWidth="1"/>
    <col min="13" max="13" width="9.1015625" style="1" bestFit="1" customWidth="1"/>
    <col min="14" max="14" width="22" style="1" bestFit="1" customWidth="1"/>
    <col min="15" max="15" width="21.7890625" style="1" customWidth="1"/>
    <col min="16" max="16" width="14" style="1" bestFit="1" customWidth="1"/>
    <col min="17" max="17" width="13.41796875" style="1" bestFit="1" customWidth="1"/>
    <col min="18" max="16384" width="8.89453125" style="1"/>
  </cols>
  <sheetData>
    <row r="1" spans="1:17" ht="17.7" hidden="1" x14ac:dyDescent="0.6">
      <c r="A1" s="1" t="s">
        <v>57</v>
      </c>
      <c r="C1" s="23">
        <f>C4/0.7</f>
        <v>0</v>
      </c>
      <c r="D1" s="10"/>
    </row>
    <row r="2" spans="1:17" ht="17.7" x14ac:dyDescent="0.6">
      <c r="C2" s="23"/>
      <c r="D2" s="10"/>
    </row>
    <row r="3" spans="1:17" ht="39" customHeight="1" x14ac:dyDescent="0.6">
      <c r="F3" s="76" t="s">
        <v>83</v>
      </c>
      <c r="G3" s="77" t="str">
        <f>B18</f>
        <v>Montante ETF 1</v>
      </c>
      <c r="H3" s="78" t="s">
        <v>114</v>
      </c>
      <c r="I3" s="78" t="s">
        <v>108</v>
      </c>
      <c r="J3" s="78" t="s">
        <v>113</v>
      </c>
      <c r="K3" s="78"/>
    </row>
    <row r="4" spans="1:17" ht="33.6" customHeight="1" x14ac:dyDescent="0.6">
      <c r="B4" s="76"/>
      <c r="C4" s="62"/>
      <c r="D4" s="2"/>
      <c r="F4" s="72">
        <f>C14-(C14-1)</f>
        <v>1</v>
      </c>
      <c r="G4" s="10">
        <f>$C$11</f>
        <v>1500</v>
      </c>
      <c r="H4" s="10">
        <f>G4</f>
        <v>1500</v>
      </c>
      <c r="I4" s="10">
        <f>$C$12</f>
        <v>1500</v>
      </c>
      <c r="J4" s="10">
        <f>I4</f>
        <v>1500</v>
      </c>
      <c r="K4" s="74"/>
      <c r="L4" s="10"/>
      <c r="O4" s="3"/>
      <c r="P4" s="4"/>
    </row>
    <row r="5" spans="1:17" ht="17.7" x14ac:dyDescent="0.6">
      <c r="B5" s="5"/>
      <c r="C5" s="6"/>
      <c r="D5" s="2"/>
      <c r="F5" s="1">
        <v>2</v>
      </c>
      <c r="G5" s="10">
        <f>IF(F5&lt;=$C$14,$C$11+G4+G4*$C$15,G4*(1+$C$15)^F5)</f>
        <v>3105</v>
      </c>
      <c r="H5" s="10">
        <f t="shared" ref="H5:H21" si="0">IF(F5&lt;=$C$14,G5-((G5-F5*$C$11)*$C$19),"")</f>
        <v>3077.7</v>
      </c>
      <c r="I5" s="10">
        <f t="shared" ref="I5:I68" si="1">IF(F5&lt;=$C$14,$C$12+I4+I4*($C$16),"")</f>
        <v>3105</v>
      </c>
      <c r="J5" s="10">
        <f t="shared" ref="J5:J68" si="2">IF(F5&lt;=$C$14,I5-((I5-F5*$C$12)*$C$25),"")</f>
        <v>3077.7</v>
      </c>
      <c r="K5" s="74"/>
      <c r="L5" s="10"/>
      <c r="O5" s="3"/>
      <c r="P5" s="4"/>
    </row>
    <row r="6" spans="1:17" ht="17.7" x14ac:dyDescent="0.6">
      <c r="B6" s="7"/>
      <c r="C6" s="8"/>
      <c r="D6" s="68"/>
      <c r="F6" s="1">
        <v>3</v>
      </c>
      <c r="G6" s="10">
        <f t="shared" ref="G6:G11" si="3">IF(F6&lt;=$C$14,$C$11+G5+G5*$C$15,"")</f>
        <v>4822.3500000000004</v>
      </c>
      <c r="H6" s="10">
        <f t="shared" si="0"/>
        <v>4738.5390000000007</v>
      </c>
      <c r="I6" s="10">
        <f t="shared" si="1"/>
        <v>4822.3500000000004</v>
      </c>
      <c r="J6" s="10">
        <f t="shared" si="2"/>
        <v>4738.5390000000007</v>
      </c>
      <c r="K6" s="74"/>
      <c r="L6" s="10"/>
      <c r="O6" s="3"/>
      <c r="P6" s="4"/>
    </row>
    <row r="7" spans="1:17" ht="17.7" x14ac:dyDescent="0.6">
      <c r="B7" s="7"/>
      <c r="C7" s="8"/>
      <c r="D7" s="69"/>
      <c r="F7" s="1">
        <v>4</v>
      </c>
      <c r="G7" s="10">
        <f t="shared" si="3"/>
        <v>6659.9145000000008</v>
      </c>
      <c r="H7" s="10">
        <f t="shared" si="0"/>
        <v>6488.3367300000009</v>
      </c>
      <c r="I7" s="10">
        <f t="shared" si="1"/>
        <v>6659.9145000000008</v>
      </c>
      <c r="J7" s="10">
        <f t="shared" si="2"/>
        <v>6488.3367300000009</v>
      </c>
      <c r="K7" s="74"/>
      <c r="L7" s="10"/>
      <c r="O7" s="3"/>
      <c r="P7" s="4"/>
      <c r="Q7" s="10"/>
    </row>
    <row r="8" spans="1:17" ht="17.7" x14ac:dyDescent="0.6">
      <c r="B8" s="7"/>
      <c r="C8" s="11"/>
      <c r="D8" s="70"/>
      <c r="E8" s="4"/>
      <c r="F8" s="1">
        <v>5</v>
      </c>
      <c r="G8" s="10">
        <f t="shared" si="3"/>
        <v>8626.1085150000017</v>
      </c>
      <c r="H8" s="10">
        <f t="shared" si="0"/>
        <v>8333.3203011000005</v>
      </c>
      <c r="I8" s="10">
        <f t="shared" si="1"/>
        <v>8626.1085150000017</v>
      </c>
      <c r="J8" s="10">
        <f t="shared" si="2"/>
        <v>8333.3203011000005</v>
      </c>
      <c r="K8" s="74"/>
      <c r="L8" s="10"/>
      <c r="P8" s="4"/>
    </row>
    <row r="9" spans="1:17" ht="17.7" x14ac:dyDescent="0.6">
      <c r="B9" s="15"/>
      <c r="C9" s="16"/>
      <c r="D9" s="71"/>
      <c r="F9" s="1">
        <v>6</v>
      </c>
      <c r="G9" s="10">
        <f t="shared" si="3"/>
        <v>10729.936111050001</v>
      </c>
      <c r="H9" s="10">
        <f t="shared" si="0"/>
        <v>10280.152722177001</v>
      </c>
      <c r="I9" s="10">
        <f t="shared" si="1"/>
        <v>10729.936111050001</v>
      </c>
      <c r="J9" s="10">
        <f t="shared" si="2"/>
        <v>10280.152722177001</v>
      </c>
      <c r="K9" s="74"/>
      <c r="L9" s="10"/>
      <c r="Q9" s="4"/>
    </row>
    <row r="10" spans="1:17" ht="17.7" x14ac:dyDescent="0.6">
      <c r="B10" s="15"/>
      <c r="C10" s="16"/>
      <c r="D10" s="68"/>
      <c r="F10" s="1">
        <v>7</v>
      </c>
      <c r="G10" s="10">
        <f t="shared" si="3"/>
        <v>12981.031638823501</v>
      </c>
      <c r="H10" s="10">
        <f t="shared" si="0"/>
        <v>12335.96341272939</v>
      </c>
      <c r="I10" s="10">
        <f t="shared" si="1"/>
        <v>12981.031638823501</v>
      </c>
      <c r="J10" s="10">
        <f t="shared" si="2"/>
        <v>12335.96341272939</v>
      </c>
      <c r="K10" s="74"/>
      <c r="L10" s="10"/>
      <c r="Q10" s="4"/>
    </row>
    <row r="11" spans="1:17" ht="17.7" x14ac:dyDescent="0.6">
      <c r="B11" s="15" t="s">
        <v>111</v>
      </c>
      <c r="C11" s="84">
        <v>1500</v>
      </c>
      <c r="D11" s="24"/>
      <c r="F11" s="1">
        <v>8</v>
      </c>
      <c r="G11" s="10">
        <f t="shared" si="3"/>
        <v>15389.703853541145</v>
      </c>
      <c r="H11" s="10">
        <f t="shared" si="0"/>
        <v>14508.380851620446</v>
      </c>
      <c r="I11" s="10">
        <f t="shared" si="1"/>
        <v>15389.703853541145</v>
      </c>
      <c r="J11" s="10">
        <f t="shared" si="2"/>
        <v>14508.380851620446</v>
      </c>
      <c r="K11" s="74"/>
      <c r="L11" s="10"/>
      <c r="Q11" s="4"/>
    </row>
    <row r="12" spans="1:17" ht="17.7" x14ac:dyDescent="0.6">
      <c r="B12" s="15" t="s">
        <v>112</v>
      </c>
      <c r="C12" s="84">
        <v>1500</v>
      </c>
      <c r="F12" s="1">
        <v>9</v>
      </c>
      <c r="G12" s="10">
        <f t="shared" ref="G12:G21" si="4">IF(F12&lt;=$C$14,$C$11+G11+G11*$C$15,"")</f>
        <v>17966.983123289025</v>
      </c>
      <c r="H12" s="10">
        <f t="shared" si="0"/>
        <v>16805.567511233879</v>
      </c>
      <c r="I12" s="10">
        <f t="shared" si="1"/>
        <v>17966.983123289025</v>
      </c>
      <c r="J12" s="10">
        <f t="shared" si="2"/>
        <v>16805.567511233879</v>
      </c>
      <c r="K12" s="74"/>
      <c r="L12" s="10"/>
    </row>
    <row r="13" spans="1:17" ht="18.600000000000001" customHeight="1" x14ac:dyDescent="0.6">
      <c r="B13" s="65"/>
      <c r="C13" s="16"/>
      <c r="F13" s="1">
        <v>10</v>
      </c>
      <c r="G13" s="10">
        <f t="shared" si="4"/>
        <v>20724.671941919256</v>
      </c>
      <c r="H13" s="10">
        <f t="shared" si="0"/>
        <v>19236.257237020251</v>
      </c>
      <c r="I13" s="10">
        <f t="shared" si="1"/>
        <v>20724.671941919256</v>
      </c>
      <c r="J13" s="10">
        <f t="shared" si="2"/>
        <v>19236.257237020251</v>
      </c>
      <c r="K13" s="74"/>
      <c r="L13" s="10"/>
    </row>
    <row r="14" spans="1:17" ht="18.600000000000001" customHeight="1" x14ac:dyDescent="0.6">
      <c r="B14" s="65" t="s">
        <v>115</v>
      </c>
      <c r="C14" s="64">
        <v>65</v>
      </c>
      <c r="E14" s="10"/>
      <c r="F14" s="1">
        <v>11</v>
      </c>
      <c r="G14" s="10">
        <f t="shared" si="4"/>
        <v>23675.398977853605</v>
      </c>
      <c r="H14" s="10">
        <f t="shared" si="0"/>
        <v>21809.795243611668</v>
      </c>
      <c r="I14" s="10">
        <f t="shared" si="1"/>
        <v>23675.398977853605</v>
      </c>
      <c r="J14" s="10">
        <f t="shared" si="2"/>
        <v>21809.795243611668</v>
      </c>
      <c r="K14" s="74"/>
      <c r="L14" s="10"/>
    </row>
    <row r="15" spans="1:17" ht="32.549999999999997" customHeight="1" x14ac:dyDescent="0.6">
      <c r="B15" s="63" t="s">
        <v>109</v>
      </c>
      <c r="C15" s="47">
        <v>7.0000000000000007E-2</v>
      </c>
      <c r="D15" s="10"/>
      <c r="F15" s="1">
        <v>12</v>
      </c>
      <c r="G15" s="10">
        <f t="shared" si="4"/>
        <v>26832.676906303357</v>
      </c>
      <c r="H15" s="10">
        <f t="shared" si="0"/>
        <v>24536.180910664483</v>
      </c>
      <c r="I15" s="10">
        <f t="shared" si="1"/>
        <v>26832.676906303357</v>
      </c>
      <c r="J15" s="10">
        <f t="shared" si="2"/>
        <v>24536.180910664483</v>
      </c>
      <c r="K15" s="74"/>
      <c r="L15" s="10"/>
    </row>
    <row r="16" spans="1:17" ht="18.600000000000001" customHeight="1" x14ac:dyDescent="0.6">
      <c r="B16" s="66" t="s">
        <v>110</v>
      </c>
      <c r="C16" s="47">
        <v>7.0000000000000007E-2</v>
      </c>
      <c r="F16" s="1">
        <v>13</v>
      </c>
      <c r="G16" s="10">
        <f t="shared" si="4"/>
        <v>30210.964289744592</v>
      </c>
      <c r="H16" s="10">
        <f t="shared" si="0"/>
        <v>27426.113574411</v>
      </c>
      <c r="I16" s="10">
        <f t="shared" si="1"/>
        <v>30210.964289744592</v>
      </c>
      <c r="J16" s="10">
        <f t="shared" si="2"/>
        <v>27426.113574411</v>
      </c>
      <c r="K16" s="74"/>
      <c r="L16" s="10"/>
    </row>
    <row r="17" spans="2:14" ht="18.600000000000001" customHeight="1" x14ac:dyDescent="0.55000000000000004">
      <c r="B17"/>
      <c r="C17"/>
      <c r="F17" s="1">
        <v>14</v>
      </c>
      <c r="G17" s="10">
        <f t="shared" si="4"/>
        <v>33825.731790026715</v>
      </c>
      <c r="H17" s="10">
        <f t="shared" si="0"/>
        <v>30491.04152461977</v>
      </c>
      <c r="I17" s="10">
        <f t="shared" si="1"/>
        <v>33825.731790026715</v>
      </c>
      <c r="J17" s="10">
        <f t="shared" si="2"/>
        <v>30491.04152461977</v>
      </c>
      <c r="K17" s="74"/>
      <c r="L17" s="10"/>
      <c r="N17" s="21"/>
    </row>
    <row r="18" spans="2:14" ht="18.600000000000001" customHeight="1" x14ac:dyDescent="0.55000000000000004">
      <c r="B18" s="66" t="s">
        <v>107</v>
      </c>
      <c r="C18" s="67">
        <f>C12*((((1+C16)^C14)-1)/C16)</f>
        <v>1720132.7409569123</v>
      </c>
      <c r="D18" s="10"/>
      <c r="F18" s="1">
        <v>15</v>
      </c>
      <c r="G18" s="10">
        <f t="shared" si="4"/>
        <v>37693.533015328583</v>
      </c>
      <c r="H18" s="10">
        <f t="shared" si="0"/>
        <v>33743.214431343149</v>
      </c>
      <c r="I18" s="10">
        <f t="shared" si="1"/>
        <v>37693.533015328583</v>
      </c>
      <c r="J18" s="10">
        <f t="shared" si="2"/>
        <v>33743.214431343149</v>
      </c>
      <c r="K18" s="74"/>
      <c r="L18" s="10"/>
    </row>
    <row r="19" spans="2:14" ht="18.600000000000001" customHeight="1" x14ac:dyDescent="0.55000000000000004">
      <c r="B19" s="66" t="s">
        <v>87</v>
      </c>
      <c r="C19" s="73">
        <v>0.26</v>
      </c>
      <c r="F19" s="1">
        <v>16</v>
      </c>
      <c r="G19" s="10">
        <f t="shared" si="4"/>
        <v>41832.080326401585</v>
      </c>
      <c r="H19" s="10">
        <f t="shared" si="0"/>
        <v>37195.739441537175</v>
      </c>
      <c r="I19" s="10">
        <f t="shared" si="1"/>
        <v>41832.080326401585</v>
      </c>
      <c r="J19" s="10">
        <f t="shared" si="2"/>
        <v>37195.739441537175</v>
      </c>
      <c r="K19" s="74"/>
      <c r="L19" s="10"/>
    </row>
    <row r="20" spans="2:14" ht="18.600000000000001" customHeight="1" x14ac:dyDescent="0.55000000000000004">
      <c r="B20" s="66" t="s">
        <v>89</v>
      </c>
      <c r="C20" s="67">
        <f>C18-(C14*C12)</f>
        <v>1622632.7409569123</v>
      </c>
      <c r="F20" s="1">
        <v>17</v>
      </c>
      <c r="G20" s="10">
        <f t="shared" si="4"/>
        <v>46260.325949249695</v>
      </c>
      <c r="H20" s="10">
        <f t="shared" si="0"/>
        <v>40862.641202444771</v>
      </c>
      <c r="I20" s="10">
        <f t="shared" si="1"/>
        <v>46260.325949249695</v>
      </c>
      <c r="J20" s="10">
        <f t="shared" si="2"/>
        <v>40862.641202444771</v>
      </c>
      <c r="K20" s="74"/>
      <c r="L20" s="10"/>
    </row>
    <row r="21" spans="2:14" ht="18.600000000000001" customHeight="1" x14ac:dyDescent="0.55000000000000004">
      <c r="B21" s="66" t="s">
        <v>88</v>
      </c>
      <c r="C21" s="67">
        <f>C20*C19</f>
        <v>421884.51264879719</v>
      </c>
      <c r="F21" s="1">
        <v>18</v>
      </c>
      <c r="G21" s="79">
        <f t="shared" si="4"/>
        <v>50998.548765697175</v>
      </c>
      <c r="H21" s="10">
        <f t="shared" si="0"/>
        <v>44758.926086615909</v>
      </c>
      <c r="I21" s="10">
        <f t="shared" si="1"/>
        <v>50998.548765697175</v>
      </c>
      <c r="J21" s="10">
        <f t="shared" si="2"/>
        <v>44758.926086615909</v>
      </c>
      <c r="K21" s="74"/>
      <c r="L21" s="10"/>
    </row>
    <row r="22" spans="2:14" ht="18.600000000000001" customHeight="1" x14ac:dyDescent="0.55000000000000004">
      <c r="B22" s="66" t="s">
        <v>86</v>
      </c>
      <c r="C22" s="67">
        <f>C18-C21</f>
        <v>1298248.2283081152</v>
      </c>
      <c r="D22" s="10"/>
      <c r="F22" s="1">
        <v>19</v>
      </c>
      <c r="G22" s="10">
        <f>$G$21*(1+$C$15)^(F22-$F$21)</f>
        <v>54568.447179295981</v>
      </c>
      <c r="H22" s="10">
        <f t="shared" ref="H22:H48" si="5">IF(F22&lt;=$C$14,G22-((G22-F22*$C$11)*$C$19),"")</f>
        <v>47790.650912679026</v>
      </c>
      <c r="I22" s="10">
        <f t="shared" si="1"/>
        <v>56068.447179295974</v>
      </c>
      <c r="J22" s="10">
        <f t="shared" si="2"/>
        <v>48900.650912679019</v>
      </c>
      <c r="K22" s="74"/>
      <c r="L22" s="10"/>
    </row>
    <row r="23" spans="2:14" ht="18.600000000000001" customHeight="1" x14ac:dyDescent="0.55000000000000004">
      <c r="B23" s="66"/>
      <c r="C23" s="67"/>
      <c r="F23" s="1">
        <v>20</v>
      </c>
      <c r="G23" s="10">
        <f t="shared" ref="G23:G68" si="6">$G$21*(1+$C$15)^(F23-$F$21)</f>
        <v>58388.238481846696</v>
      </c>
      <c r="H23" s="10">
        <f t="shared" si="5"/>
        <v>51007.296476566553</v>
      </c>
      <c r="I23" s="10">
        <f t="shared" si="1"/>
        <v>61493.238481846696</v>
      </c>
      <c r="J23" s="10">
        <f t="shared" si="2"/>
        <v>53304.996476566557</v>
      </c>
      <c r="K23" s="74"/>
      <c r="L23" s="10"/>
    </row>
    <row r="24" spans="2:14" ht="18.600000000000001" customHeight="1" x14ac:dyDescent="0.55000000000000004">
      <c r="B24" s="66" t="s">
        <v>108</v>
      </c>
      <c r="C24" s="67">
        <f>C11*((((1+C15)^C14)-1)/(C15))</f>
        <v>1720132.7409569123</v>
      </c>
      <c r="F24" s="1">
        <v>21</v>
      </c>
      <c r="G24" s="10">
        <f t="shared" si="6"/>
        <v>62475.415175575967</v>
      </c>
      <c r="H24" s="10">
        <f t="shared" si="5"/>
        <v>54421.807229926213</v>
      </c>
      <c r="I24" s="10">
        <f t="shared" si="1"/>
        <v>67297.765175575973</v>
      </c>
      <c r="J24" s="10">
        <f t="shared" si="2"/>
        <v>57990.346229926217</v>
      </c>
      <c r="K24" s="74"/>
      <c r="L24" s="10"/>
    </row>
    <row r="25" spans="2:14" ht="18.600000000000001" customHeight="1" x14ac:dyDescent="0.55000000000000004">
      <c r="B25" s="66" t="s">
        <v>87</v>
      </c>
      <c r="C25" s="73">
        <v>0.26</v>
      </c>
      <c r="F25" s="1">
        <v>22</v>
      </c>
      <c r="G25" s="10">
        <f t="shared" si="6"/>
        <v>66848.694237866279</v>
      </c>
      <c r="H25" s="10">
        <f t="shared" si="5"/>
        <v>58048.033736021047</v>
      </c>
      <c r="I25" s="10">
        <f t="shared" si="1"/>
        <v>73508.608737866292</v>
      </c>
      <c r="J25" s="10">
        <f t="shared" si="2"/>
        <v>62976.370466021057</v>
      </c>
      <c r="K25" s="74"/>
      <c r="L25" s="10"/>
    </row>
    <row r="26" spans="2:14" x14ac:dyDescent="0.55000000000000004">
      <c r="B26" s="66" t="s">
        <v>89</v>
      </c>
      <c r="C26" s="67">
        <f>C24-(C12*C14)</f>
        <v>1622632.7409569123</v>
      </c>
      <c r="F26" s="1">
        <v>23</v>
      </c>
      <c r="G26" s="10">
        <f t="shared" si="6"/>
        <v>71528.102834516932</v>
      </c>
      <c r="H26" s="10">
        <f t="shared" si="5"/>
        <v>61900.79609754253</v>
      </c>
      <c r="I26" s="10">
        <f t="shared" si="1"/>
        <v>80154.211349516932</v>
      </c>
      <c r="J26" s="10">
        <f t="shared" si="2"/>
        <v>68284.116398642524</v>
      </c>
      <c r="K26" s="74"/>
      <c r="L26" s="10"/>
    </row>
    <row r="27" spans="2:14" x14ac:dyDescent="0.55000000000000004">
      <c r="B27" s="66" t="s">
        <v>88</v>
      </c>
      <c r="C27" s="67">
        <f>C26*C25</f>
        <v>421884.51264879719</v>
      </c>
      <c r="F27" s="1">
        <v>24</v>
      </c>
      <c r="G27" s="10">
        <f t="shared" si="6"/>
        <v>76535.070032933101</v>
      </c>
      <c r="H27" s="10">
        <f t="shared" si="5"/>
        <v>65995.951824370495</v>
      </c>
      <c r="I27" s="10">
        <f t="shared" si="1"/>
        <v>87265.006143983119</v>
      </c>
      <c r="J27" s="10">
        <f t="shared" si="2"/>
        <v>73936.104546547504</v>
      </c>
      <c r="K27" s="74"/>
      <c r="L27" s="10"/>
    </row>
    <row r="28" spans="2:14" x14ac:dyDescent="0.55000000000000004">
      <c r="B28" s="66" t="s">
        <v>86</v>
      </c>
      <c r="C28" s="67">
        <f>C24-C27</f>
        <v>1298248.2283081152</v>
      </c>
      <c r="F28" s="1">
        <v>25</v>
      </c>
      <c r="G28" s="10">
        <f t="shared" si="6"/>
        <v>81892.524935238427</v>
      </c>
      <c r="H28" s="10">
        <f t="shared" si="5"/>
        <v>70350.468452076428</v>
      </c>
      <c r="I28" s="10">
        <f t="shared" si="1"/>
        <v>94873.556574061935</v>
      </c>
      <c r="J28" s="10">
        <f t="shared" si="2"/>
        <v>79956.431864805825</v>
      </c>
      <c r="K28" s="74"/>
      <c r="L28" s="10"/>
    </row>
    <row r="29" spans="2:14" x14ac:dyDescent="0.55000000000000004">
      <c r="F29" s="1">
        <v>26</v>
      </c>
      <c r="G29" s="10">
        <f t="shared" si="6"/>
        <v>87625.001680705114</v>
      </c>
      <c r="H29" s="10">
        <f t="shared" si="5"/>
        <v>74982.501243721781</v>
      </c>
      <c r="I29" s="10">
        <f t="shared" si="1"/>
        <v>103014.70553424627</v>
      </c>
      <c r="J29" s="10">
        <f t="shared" si="2"/>
        <v>86370.88209534224</v>
      </c>
      <c r="K29" s="74"/>
      <c r="L29" s="10"/>
    </row>
    <row r="30" spans="2:14" x14ac:dyDescent="0.55000000000000004">
      <c r="F30" s="1">
        <v>27</v>
      </c>
      <c r="G30" s="10">
        <f t="shared" si="6"/>
        <v>93758.751798354482</v>
      </c>
      <c r="H30" s="10">
        <f t="shared" si="5"/>
        <v>79911.476330782316</v>
      </c>
      <c r="I30" s="10">
        <f t="shared" si="1"/>
        <v>111725.73492164351</v>
      </c>
      <c r="J30" s="10">
        <f t="shared" si="2"/>
        <v>93207.043842016195</v>
      </c>
      <c r="K30" s="74"/>
      <c r="L30" s="10"/>
    </row>
    <row r="31" spans="2:14" x14ac:dyDescent="0.55000000000000004">
      <c r="F31" s="1">
        <v>28</v>
      </c>
      <c r="G31" s="10">
        <f t="shared" si="6"/>
        <v>100321.86442423929</v>
      </c>
      <c r="H31" s="10">
        <f t="shared" si="5"/>
        <v>85158.179673937077</v>
      </c>
      <c r="I31" s="10">
        <f t="shared" si="1"/>
        <v>121046.53636615856</v>
      </c>
      <c r="J31" s="10">
        <f t="shared" si="2"/>
        <v>100494.43691095733</v>
      </c>
      <c r="K31" s="74"/>
      <c r="L31" s="10"/>
    </row>
    <row r="32" spans="2:14" x14ac:dyDescent="0.55000000000000004">
      <c r="F32" s="1">
        <v>29</v>
      </c>
      <c r="G32" s="10">
        <f t="shared" si="6"/>
        <v>107344.39493393606</v>
      </c>
      <c r="H32" s="10">
        <f t="shared" si="5"/>
        <v>90744.852251112679</v>
      </c>
      <c r="I32" s="10">
        <f t="shared" si="1"/>
        <v>131019.79391178966</v>
      </c>
      <c r="J32" s="10">
        <f t="shared" si="2"/>
        <v>108264.64749472434</v>
      </c>
      <c r="K32" s="74"/>
      <c r="L32" s="10"/>
    </row>
    <row r="33" spans="6:12" x14ac:dyDescent="0.55000000000000004">
      <c r="F33" s="1">
        <v>30</v>
      </c>
      <c r="G33" s="10">
        <f t="shared" si="6"/>
        <v>114858.50257931156</v>
      </c>
      <c r="H33" s="10">
        <f t="shared" si="5"/>
        <v>96695.29190869056</v>
      </c>
      <c r="I33" s="10">
        <f t="shared" si="1"/>
        <v>141691.17948561494</v>
      </c>
      <c r="J33" s="10">
        <f t="shared" si="2"/>
        <v>116551.47281935505</v>
      </c>
      <c r="K33" s="74"/>
      <c r="L33" s="10"/>
    </row>
    <row r="34" spans="6:12" x14ac:dyDescent="0.55000000000000004">
      <c r="F34" s="1">
        <v>31</v>
      </c>
      <c r="G34" s="10">
        <f t="shared" si="6"/>
        <v>122898.59775986338</v>
      </c>
      <c r="H34" s="10">
        <f t="shared" si="5"/>
        <v>103034.9623422989</v>
      </c>
      <c r="I34" s="10">
        <f t="shared" si="1"/>
        <v>153109.56204960798</v>
      </c>
      <c r="J34" s="10">
        <f t="shared" si="2"/>
        <v>125391.0759167099</v>
      </c>
      <c r="K34" s="74"/>
      <c r="L34" s="10"/>
    </row>
    <row r="35" spans="6:12" x14ac:dyDescent="0.55000000000000004">
      <c r="F35" s="1">
        <v>32</v>
      </c>
      <c r="G35" s="10">
        <f t="shared" si="6"/>
        <v>131501.49960305382</v>
      </c>
      <c r="H35" s="10">
        <f t="shared" si="5"/>
        <v>109791.10970625983</v>
      </c>
      <c r="I35" s="10">
        <f t="shared" si="1"/>
        <v>165327.23139308055</v>
      </c>
      <c r="J35" s="10">
        <f t="shared" si="2"/>
        <v>134822.15123087959</v>
      </c>
      <c r="K35" s="74"/>
      <c r="L35" s="10"/>
    </row>
    <row r="36" spans="6:12" x14ac:dyDescent="0.55000000000000004">
      <c r="F36" s="1">
        <v>33</v>
      </c>
      <c r="G36" s="10">
        <f t="shared" si="6"/>
        <v>140706.60457526759</v>
      </c>
      <c r="H36" s="10">
        <f t="shared" si="5"/>
        <v>116992.88738569801</v>
      </c>
      <c r="I36" s="10">
        <f t="shared" si="1"/>
        <v>178400.13759059619</v>
      </c>
      <c r="J36" s="10">
        <f t="shared" si="2"/>
        <v>144886.10181704117</v>
      </c>
      <c r="K36" s="74"/>
      <c r="L36" s="10"/>
    </row>
    <row r="37" spans="6:12" x14ac:dyDescent="0.55000000000000004">
      <c r="F37" s="1">
        <v>34</v>
      </c>
      <c r="G37" s="10">
        <f t="shared" si="6"/>
        <v>150556.06689553632</v>
      </c>
      <c r="H37" s="10">
        <f t="shared" si="5"/>
        <v>124671.48950269687</v>
      </c>
      <c r="I37" s="10">
        <f t="shared" si="1"/>
        <v>192388.14722193792</v>
      </c>
      <c r="J37" s="10">
        <f t="shared" si="2"/>
        <v>155627.22894423406</v>
      </c>
      <c r="K37" s="74"/>
      <c r="L37" s="10"/>
    </row>
    <row r="38" spans="6:12" x14ac:dyDescent="0.55000000000000004">
      <c r="F38" s="1">
        <v>35</v>
      </c>
      <c r="G38" s="10">
        <f t="shared" si="6"/>
        <v>161094.99157822385</v>
      </c>
      <c r="H38" s="10">
        <f t="shared" si="5"/>
        <v>132860.29376788565</v>
      </c>
      <c r="I38" s="10">
        <f t="shared" si="1"/>
        <v>207355.31752747358</v>
      </c>
      <c r="J38" s="10">
        <f t="shared" si="2"/>
        <v>167092.93497033045</v>
      </c>
      <c r="K38" s="74"/>
      <c r="L38" s="10"/>
    </row>
    <row r="39" spans="6:12" x14ac:dyDescent="0.55000000000000004">
      <c r="F39" s="1">
        <v>36</v>
      </c>
      <c r="G39" s="10">
        <f t="shared" si="6"/>
        <v>172371.64098869954</v>
      </c>
      <c r="H39" s="10">
        <f t="shared" si="5"/>
        <v>141595.01433163765</v>
      </c>
      <c r="I39" s="10">
        <f t="shared" si="1"/>
        <v>223370.18975439674</v>
      </c>
      <c r="J39" s="10">
        <f t="shared" si="2"/>
        <v>179333.94041825359</v>
      </c>
      <c r="K39" s="74"/>
      <c r="L39" s="10"/>
    </row>
    <row r="40" spans="6:12" x14ac:dyDescent="0.55000000000000004">
      <c r="F40" s="1">
        <v>37</v>
      </c>
      <c r="G40" s="10">
        <f t="shared" si="6"/>
        <v>184437.65585790851</v>
      </c>
      <c r="H40" s="10">
        <f t="shared" si="5"/>
        <v>150913.86533485231</v>
      </c>
      <c r="I40" s="10">
        <f t="shared" si="1"/>
        <v>240506.10303720451</v>
      </c>
      <c r="J40" s="10">
        <f t="shared" si="2"/>
        <v>192404.51624753134</v>
      </c>
      <c r="K40" s="74"/>
      <c r="L40" s="10"/>
    </row>
    <row r="41" spans="6:12" x14ac:dyDescent="0.55000000000000004">
      <c r="F41" s="1">
        <v>38</v>
      </c>
      <c r="G41" s="10">
        <f t="shared" si="6"/>
        <v>197348.29176796207</v>
      </c>
      <c r="H41" s="10">
        <f t="shared" si="5"/>
        <v>160857.73590829194</v>
      </c>
      <c r="I41" s="10">
        <f t="shared" si="1"/>
        <v>258841.53024980883</v>
      </c>
      <c r="J41" s="10">
        <f t="shared" si="2"/>
        <v>206362.73238485854</v>
      </c>
      <c r="K41" s="74"/>
      <c r="L41" s="10"/>
    </row>
    <row r="42" spans="6:12" x14ac:dyDescent="0.55000000000000004">
      <c r="F42" s="1">
        <v>39</v>
      </c>
      <c r="G42" s="10">
        <f t="shared" si="6"/>
        <v>211162.67219171944</v>
      </c>
      <c r="H42" s="10">
        <f t="shared" si="5"/>
        <v>171470.3774218724</v>
      </c>
      <c r="I42" s="10">
        <f t="shared" si="1"/>
        <v>278460.43736729544</v>
      </c>
      <c r="J42" s="10">
        <f t="shared" si="2"/>
        <v>221270.72365179862</v>
      </c>
      <c r="K42" s="74"/>
      <c r="L42" s="10"/>
    </row>
    <row r="43" spans="6:12" x14ac:dyDescent="0.55000000000000004">
      <c r="F43" s="1">
        <v>40</v>
      </c>
      <c r="G43" s="10">
        <f t="shared" si="6"/>
        <v>225944.0592451398</v>
      </c>
      <c r="H43" s="10">
        <f t="shared" si="5"/>
        <v>182798.60384140344</v>
      </c>
      <c r="I43" s="10">
        <f t="shared" si="1"/>
        <v>299452.6679830061</v>
      </c>
      <c r="J43" s="10">
        <f t="shared" si="2"/>
        <v>237194.97430742451</v>
      </c>
      <c r="K43" s="74"/>
      <c r="L43" s="10"/>
    </row>
    <row r="44" spans="6:12" x14ac:dyDescent="0.55000000000000004">
      <c r="F44" s="1">
        <v>41</v>
      </c>
      <c r="G44" s="10">
        <f t="shared" si="6"/>
        <v>241760.14339229959</v>
      </c>
      <c r="H44" s="10">
        <f t="shared" si="5"/>
        <v>194892.50611030171</v>
      </c>
      <c r="I44" s="10">
        <f t="shared" si="1"/>
        <v>321914.35474181653</v>
      </c>
      <c r="J44" s="10">
        <f t="shared" si="2"/>
        <v>254206.62250894425</v>
      </c>
      <c r="K44" s="74"/>
      <c r="L44" s="10"/>
    </row>
    <row r="45" spans="6:12" x14ac:dyDescent="0.55000000000000004">
      <c r="F45" s="1">
        <v>42</v>
      </c>
      <c r="G45" s="10">
        <f t="shared" si="6"/>
        <v>258683.35342976058</v>
      </c>
      <c r="H45" s="10">
        <f t="shared" si="5"/>
        <v>207805.68153802282</v>
      </c>
      <c r="I45" s="10">
        <f t="shared" si="1"/>
        <v>345948.35957374366</v>
      </c>
      <c r="J45" s="10">
        <f t="shared" si="2"/>
        <v>272381.78608457028</v>
      </c>
      <c r="K45" s="74"/>
      <c r="L45" s="10"/>
    </row>
    <row r="46" spans="6:12" x14ac:dyDescent="0.55000000000000004">
      <c r="F46" s="1">
        <v>43</v>
      </c>
      <c r="G46" s="10">
        <f t="shared" si="6"/>
        <v>276791.18816984381</v>
      </c>
      <c r="H46" s="10">
        <f t="shared" si="5"/>
        <v>221595.4792456844</v>
      </c>
      <c r="I46" s="10">
        <f t="shared" si="1"/>
        <v>371664.74474390573</v>
      </c>
      <c r="J46" s="10">
        <f t="shared" si="2"/>
        <v>291801.91111049021</v>
      </c>
      <c r="K46" s="74"/>
      <c r="L46" s="10"/>
    </row>
    <row r="47" spans="6:12" x14ac:dyDescent="0.55000000000000004">
      <c r="F47" s="1">
        <v>44</v>
      </c>
      <c r="G47" s="10">
        <f t="shared" si="6"/>
        <v>296166.57134173287</v>
      </c>
      <c r="H47" s="10">
        <f t="shared" si="5"/>
        <v>236323.26279288233</v>
      </c>
      <c r="I47" s="10">
        <f t="shared" si="1"/>
        <v>399181.27687597915</v>
      </c>
      <c r="J47" s="10">
        <f t="shared" si="2"/>
        <v>312554.14488822455</v>
      </c>
      <c r="K47" s="74"/>
      <c r="L47" s="10"/>
    </row>
    <row r="48" spans="6:12" x14ac:dyDescent="0.55000000000000004">
      <c r="F48" s="1">
        <v>45</v>
      </c>
      <c r="G48" s="10">
        <f t="shared" si="6"/>
        <v>316898.23133565421</v>
      </c>
      <c r="H48" s="10">
        <f t="shared" si="5"/>
        <v>252054.69118838411</v>
      </c>
      <c r="I48" s="10">
        <f t="shared" si="1"/>
        <v>428623.96625729767</v>
      </c>
      <c r="J48" s="10">
        <f t="shared" si="2"/>
        <v>334731.73503040028</v>
      </c>
      <c r="K48" s="74"/>
      <c r="L48" s="10"/>
    </row>
    <row r="49" spans="6:10" x14ac:dyDescent="0.55000000000000004">
      <c r="F49" s="1">
        <v>46</v>
      </c>
      <c r="G49" s="10">
        <f t="shared" si="6"/>
        <v>339081.10752914997</v>
      </c>
      <c r="H49" s="10">
        <f t="shared" ref="H49:H68" si="7">IF(F49&lt;=$C$14,G49-((G49-F49*$C$11)*$C$19),"")</f>
        <v>268860.01957157097</v>
      </c>
      <c r="I49" s="10">
        <f t="shared" si="1"/>
        <v>460127.64389530849</v>
      </c>
      <c r="J49" s="10">
        <f t="shared" si="2"/>
        <v>358434.45648252824</v>
      </c>
    </row>
    <row r="50" spans="6:10" x14ac:dyDescent="0.55000000000000004">
      <c r="F50" s="1">
        <v>47</v>
      </c>
      <c r="G50" s="10">
        <f t="shared" si="6"/>
        <v>362816.78505619045</v>
      </c>
      <c r="H50" s="10">
        <f t="shared" si="7"/>
        <v>286814.4209415809</v>
      </c>
      <c r="I50" s="10">
        <f t="shared" si="1"/>
        <v>493836.57896798011</v>
      </c>
      <c r="J50" s="10">
        <f t="shared" si="2"/>
        <v>383769.06843630527</v>
      </c>
    </row>
    <row r="51" spans="6:10" x14ac:dyDescent="0.55000000000000004">
      <c r="F51" s="1">
        <v>48</v>
      </c>
      <c r="G51" s="10">
        <f t="shared" si="6"/>
        <v>388213.96001012379</v>
      </c>
      <c r="H51" s="10">
        <f t="shared" si="7"/>
        <v>305998.33040749159</v>
      </c>
      <c r="I51" s="10">
        <f t="shared" si="1"/>
        <v>529905.13949573867</v>
      </c>
      <c r="J51" s="10">
        <f t="shared" si="2"/>
        <v>410849.80322684662</v>
      </c>
    </row>
    <row r="52" spans="6:10" x14ac:dyDescent="0.55000000000000004">
      <c r="F52" s="1">
        <v>49</v>
      </c>
      <c r="G52" s="10">
        <f t="shared" si="6"/>
        <v>415388.93721083255</v>
      </c>
      <c r="H52" s="10">
        <f t="shared" si="7"/>
        <v>326497.8135360161</v>
      </c>
      <c r="I52" s="10">
        <f t="shared" si="1"/>
        <v>568498.49926044035</v>
      </c>
      <c r="J52" s="10">
        <f t="shared" si="2"/>
        <v>439798.88945272588</v>
      </c>
    </row>
    <row r="53" spans="6:10" x14ac:dyDescent="0.55000000000000004">
      <c r="F53" s="1">
        <v>50</v>
      </c>
      <c r="G53" s="10">
        <f t="shared" si="6"/>
        <v>444466.16281559074</v>
      </c>
      <c r="H53" s="10">
        <f t="shared" si="7"/>
        <v>348404.96048353717</v>
      </c>
      <c r="I53" s="10">
        <f t="shared" si="1"/>
        <v>609793.39420867118</v>
      </c>
      <c r="J53" s="10">
        <f t="shared" si="2"/>
        <v>470747.11171441665</v>
      </c>
    </row>
    <row r="54" spans="6:10" x14ac:dyDescent="0.55000000000000004">
      <c r="F54" s="1">
        <v>51</v>
      </c>
      <c r="G54" s="10">
        <f t="shared" si="6"/>
        <v>475578.79421268211</v>
      </c>
      <c r="H54" s="10">
        <f t="shared" si="7"/>
        <v>371818.30771738477</v>
      </c>
      <c r="I54" s="10">
        <f t="shared" si="1"/>
        <v>653978.93180327816</v>
      </c>
      <c r="J54" s="10">
        <f t="shared" si="2"/>
        <v>503834.40953442582</v>
      </c>
    </row>
    <row r="55" spans="6:10" x14ac:dyDescent="0.55000000000000004">
      <c r="F55" s="1">
        <v>52</v>
      </c>
      <c r="G55" s="10">
        <f t="shared" si="6"/>
        <v>508869.30980756984</v>
      </c>
      <c r="H55" s="10">
        <f t="shared" si="7"/>
        <v>396843.28925760166</v>
      </c>
      <c r="I55" s="10">
        <f t="shared" si="1"/>
        <v>701257.45702950761</v>
      </c>
      <c r="J55" s="10">
        <f t="shared" si="2"/>
        <v>539210.51820183569</v>
      </c>
    </row>
    <row r="56" spans="6:10" x14ac:dyDescent="0.55000000000000004">
      <c r="F56" s="1">
        <v>53</v>
      </c>
      <c r="G56" s="10">
        <f t="shared" si="6"/>
        <v>544490.16149409977</v>
      </c>
      <c r="H56" s="10">
        <f t="shared" si="7"/>
        <v>423592.71950563381</v>
      </c>
      <c r="I56" s="10">
        <f t="shared" si="1"/>
        <v>751845.47902157321</v>
      </c>
      <c r="J56" s="10">
        <f t="shared" si="2"/>
        <v>577035.65447596414</v>
      </c>
    </row>
    <row r="57" spans="6:10" x14ac:dyDescent="0.55000000000000004">
      <c r="F57" s="1">
        <v>54</v>
      </c>
      <c r="G57" s="10">
        <f t="shared" si="6"/>
        <v>582604.47279868671</v>
      </c>
      <c r="H57" s="10">
        <f t="shared" si="7"/>
        <v>452187.30987102818</v>
      </c>
      <c r="I57" s="10">
        <f t="shared" si="1"/>
        <v>805974.66255308338</v>
      </c>
      <c r="J57" s="10">
        <f t="shared" si="2"/>
        <v>617481.25028928171</v>
      </c>
    </row>
    <row r="58" spans="6:10" x14ac:dyDescent="0.55000000000000004">
      <c r="F58" s="1">
        <v>55</v>
      </c>
      <c r="G58" s="10">
        <f t="shared" si="6"/>
        <v>623386.78589459485</v>
      </c>
      <c r="H58" s="10">
        <f t="shared" si="7"/>
        <v>482756.22156200022</v>
      </c>
      <c r="I58" s="10">
        <f t="shared" si="1"/>
        <v>863892.88893179921</v>
      </c>
      <c r="J58" s="10">
        <f t="shared" si="2"/>
        <v>660730.73780953139</v>
      </c>
    </row>
    <row r="59" spans="6:10" x14ac:dyDescent="0.55000000000000004">
      <c r="F59" s="1">
        <v>56</v>
      </c>
      <c r="G59" s="10">
        <f t="shared" si="6"/>
        <v>667023.86090721656</v>
      </c>
      <c r="H59" s="10">
        <f t="shared" si="7"/>
        <v>515437.65707134025</v>
      </c>
      <c r="I59" s="10">
        <f t="shared" si="1"/>
        <v>925865.39115702512</v>
      </c>
      <c r="J59" s="10">
        <f t="shared" si="2"/>
        <v>706980.38945619855</v>
      </c>
    </row>
    <row r="60" spans="6:10" x14ac:dyDescent="0.55000000000000004">
      <c r="F60" s="1">
        <v>57</v>
      </c>
      <c r="G60" s="10">
        <f t="shared" si="6"/>
        <v>713715.53117072163</v>
      </c>
      <c r="H60" s="10">
        <f t="shared" si="7"/>
        <v>550379.49306633393</v>
      </c>
      <c r="I60" s="10">
        <f t="shared" si="1"/>
        <v>992175.9685380169</v>
      </c>
      <c r="J60" s="10">
        <f t="shared" si="2"/>
        <v>756440.21671813249</v>
      </c>
    </row>
    <row r="61" spans="6:10" x14ac:dyDescent="0.55000000000000004">
      <c r="F61" s="1">
        <v>58</v>
      </c>
      <c r="G61" s="10">
        <f t="shared" si="6"/>
        <v>763675.6183526722</v>
      </c>
      <c r="H61" s="10">
        <f t="shared" si="7"/>
        <v>587739.95758097735</v>
      </c>
      <c r="I61" s="10">
        <f t="shared" si="1"/>
        <v>1063128.2863356781</v>
      </c>
      <c r="J61" s="10">
        <f t="shared" si="2"/>
        <v>809334.93188840174</v>
      </c>
    </row>
    <row r="62" spans="6:10" x14ac:dyDescent="0.55000000000000004">
      <c r="F62" s="1">
        <v>59</v>
      </c>
      <c r="G62" s="10">
        <f t="shared" si="6"/>
        <v>817132.9116373593</v>
      </c>
      <c r="H62" s="10">
        <f t="shared" si="7"/>
        <v>627688.35461164592</v>
      </c>
      <c r="I62" s="10">
        <f t="shared" si="1"/>
        <v>1139047.2663791755</v>
      </c>
      <c r="J62" s="10">
        <f t="shared" si="2"/>
        <v>865904.97712058981</v>
      </c>
    </row>
    <row r="63" spans="6:10" x14ac:dyDescent="0.55000000000000004">
      <c r="F63" s="1">
        <v>60</v>
      </c>
      <c r="G63" s="10">
        <f t="shared" si="6"/>
        <v>874332.21545197431</v>
      </c>
      <c r="H63" s="10">
        <f t="shared" si="7"/>
        <v>670405.83943446097</v>
      </c>
      <c r="I63" s="10">
        <f t="shared" si="1"/>
        <v>1220280.5750257177</v>
      </c>
      <c r="J63" s="10">
        <f t="shared" si="2"/>
        <v>926407.62551903119</v>
      </c>
    </row>
    <row r="64" spans="6:10" x14ac:dyDescent="0.55000000000000004">
      <c r="F64" s="1">
        <v>61</v>
      </c>
      <c r="G64" s="10">
        <f t="shared" si="6"/>
        <v>935535.47053361265</v>
      </c>
      <c r="H64" s="10">
        <f t="shared" si="7"/>
        <v>716086.24819487333</v>
      </c>
      <c r="I64" s="10">
        <f t="shared" si="1"/>
        <v>1307200.2152775179</v>
      </c>
      <c r="J64" s="10">
        <f t="shared" si="2"/>
        <v>991118.1593053632</v>
      </c>
    </row>
    <row r="65" spans="6:10" x14ac:dyDescent="0.55000000000000004">
      <c r="F65" s="1">
        <v>62</v>
      </c>
      <c r="G65" s="10">
        <f t="shared" si="6"/>
        <v>1001022.9534709654</v>
      </c>
      <c r="H65" s="10">
        <f t="shared" si="7"/>
        <v>764936.98556851433</v>
      </c>
      <c r="I65" s="10">
        <f t="shared" si="1"/>
        <v>1400204.2303469442</v>
      </c>
      <c r="J65" s="10">
        <f t="shared" si="2"/>
        <v>1060331.1304567386</v>
      </c>
    </row>
    <row r="66" spans="6:10" x14ac:dyDescent="0.55000000000000004">
      <c r="F66" s="1">
        <v>63</v>
      </c>
      <c r="G66" s="10">
        <f t="shared" si="6"/>
        <v>1071094.560213933</v>
      </c>
      <c r="H66" s="10">
        <f t="shared" si="7"/>
        <v>817179.97455831035</v>
      </c>
      <c r="I66" s="10">
        <f t="shared" si="1"/>
        <v>1499718.5264712302</v>
      </c>
      <c r="J66" s="10">
        <f t="shared" si="2"/>
        <v>1134361.7095887102</v>
      </c>
    </row>
    <row r="67" spans="6:10" x14ac:dyDescent="0.55000000000000004">
      <c r="F67" s="1">
        <v>64</v>
      </c>
      <c r="G67" s="10">
        <f t="shared" si="6"/>
        <v>1146071.1794289085</v>
      </c>
      <c r="H67" s="10">
        <f t="shared" si="7"/>
        <v>873052.6727773922</v>
      </c>
      <c r="I67" s="10">
        <f t="shared" si="1"/>
        <v>1606198.8233242163</v>
      </c>
      <c r="J67" s="10">
        <f t="shared" si="2"/>
        <v>1213547.12925992</v>
      </c>
    </row>
    <row r="68" spans="6:10" x14ac:dyDescent="0.55000000000000004">
      <c r="F68" s="1">
        <v>65</v>
      </c>
      <c r="G68" s="10">
        <f t="shared" si="6"/>
        <v>1226296.1619889319</v>
      </c>
      <c r="H68" s="10">
        <f t="shared" si="7"/>
        <v>932809.15987180965</v>
      </c>
      <c r="I68" s="10">
        <f t="shared" si="1"/>
        <v>1720132.7409569114</v>
      </c>
      <c r="J68" s="10">
        <f t="shared" si="2"/>
        <v>1298248.2283081145</v>
      </c>
    </row>
  </sheetData>
  <phoneticPr fontId="18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CFD67-2810-40E1-BE48-EE59BF18565B}">
  <dimension ref="B5:J60"/>
  <sheetViews>
    <sheetView topLeftCell="A4" zoomScale="85" zoomScaleNormal="85" workbookViewId="0">
      <selection activeCell="D18" sqref="D18"/>
    </sheetView>
  </sheetViews>
  <sheetFormatPr defaultRowHeight="14.4" x14ac:dyDescent="0.55000000000000004"/>
  <cols>
    <col min="2" max="2" width="13.68359375" bestFit="1" customWidth="1"/>
    <col min="3" max="3" width="17" customWidth="1"/>
    <col min="4" max="4" width="19.68359375" customWidth="1"/>
    <col min="8" max="8" width="13.20703125" bestFit="1" customWidth="1"/>
    <col min="9" max="9" width="11.7890625" customWidth="1"/>
    <col min="10" max="10" width="12.20703125" bestFit="1" customWidth="1"/>
  </cols>
  <sheetData>
    <row r="5" spans="2:10" x14ac:dyDescent="0.55000000000000004">
      <c r="B5" t="s">
        <v>131</v>
      </c>
      <c r="C5" t="s">
        <v>99</v>
      </c>
      <c r="D5" s="88">
        <v>4978.96</v>
      </c>
      <c r="G5" t="s">
        <v>58</v>
      </c>
      <c r="H5" t="s">
        <v>133</v>
      </c>
      <c r="I5" t="s">
        <v>132</v>
      </c>
      <c r="J5" t="s">
        <v>101</v>
      </c>
    </row>
    <row r="6" spans="2:10" x14ac:dyDescent="0.55000000000000004">
      <c r="C6" t="s">
        <v>100</v>
      </c>
      <c r="D6" s="94">
        <f>+D19</f>
        <v>0</v>
      </c>
      <c r="G6">
        <v>67</v>
      </c>
      <c r="J6" s="81">
        <f>D11</f>
        <v>0</v>
      </c>
    </row>
    <row r="7" spans="2:10" x14ac:dyDescent="0.55000000000000004">
      <c r="G7">
        <v>68</v>
      </c>
      <c r="H7" s="95">
        <f>D5</f>
        <v>4978.96</v>
      </c>
      <c r="I7" s="95">
        <f>+D8</f>
        <v>4229.12</v>
      </c>
      <c r="J7" s="95">
        <f t="shared" ref="J7:J38" si="0">J6+(J6*$D$12)</f>
        <v>0</v>
      </c>
    </row>
    <row r="8" spans="2:10" x14ac:dyDescent="0.55000000000000004">
      <c r="B8" t="s">
        <v>132</v>
      </c>
      <c r="C8" t="s">
        <v>99</v>
      </c>
      <c r="D8" s="88">
        <v>4229.12</v>
      </c>
      <c r="G8">
        <v>69</v>
      </c>
      <c r="H8" s="95">
        <f t="shared" ref="H8:H35" si="1">H7+(H7*$D$6)</f>
        <v>4978.96</v>
      </c>
      <c r="I8" s="95">
        <f>I7+(I7*$D$9)</f>
        <v>4229.12</v>
      </c>
      <c r="J8" s="95">
        <f t="shared" si="0"/>
        <v>0</v>
      </c>
    </row>
    <row r="9" spans="2:10" x14ac:dyDescent="0.55000000000000004">
      <c r="C9" t="s">
        <v>100</v>
      </c>
      <c r="D9" s="94">
        <f>+D19</f>
        <v>0</v>
      </c>
      <c r="G9">
        <v>70</v>
      </c>
      <c r="H9" s="95">
        <f t="shared" si="1"/>
        <v>4978.96</v>
      </c>
      <c r="I9" s="95">
        <f t="shared" ref="I9:I60" si="2">I8+(I8*$D$9)</f>
        <v>4229.12</v>
      </c>
      <c r="J9" s="95">
        <f t="shared" si="0"/>
        <v>0</v>
      </c>
    </row>
    <row r="10" spans="2:10" x14ac:dyDescent="0.55000000000000004">
      <c r="G10">
        <v>71</v>
      </c>
      <c r="H10" s="95">
        <f t="shared" si="1"/>
        <v>4978.96</v>
      </c>
      <c r="I10" s="95">
        <f t="shared" si="2"/>
        <v>4229.12</v>
      </c>
      <c r="J10" s="95">
        <f t="shared" si="0"/>
        <v>0</v>
      </c>
    </row>
    <row r="11" spans="2:10" x14ac:dyDescent="0.55000000000000004">
      <c r="B11" t="s">
        <v>101</v>
      </c>
      <c r="C11" t="s">
        <v>99</v>
      </c>
      <c r="D11" s="88">
        <v>0</v>
      </c>
      <c r="G11">
        <v>72</v>
      </c>
      <c r="H11" s="95">
        <f t="shared" si="1"/>
        <v>4978.96</v>
      </c>
      <c r="I11" s="95">
        <f t="shared" si="2"/>
        <v>4229.12</v>
      </c>
      <c r="J11" s="95">
        <f t="shared" si="0"/>
        <v>0</v>
      </c>
    </row>
    <row r="12" spans="2:10" x14ac:dyDescent="0.55000000000000004">
      <c r="C12" t="s">
        <v>100</v>
      </c>
      <c r="D12" s="89">
        <v>0</v>
      </c>
      <c r="G12">
        <v>73</v>
      </c>
      <c r="H12" s="95">
        <f t="shared" si="1"/>
        <v>4978.96</v>
      </c>
      <c r="I12" s="95">
        <f t="shared" si="2"/>
        <v>4229.12</v>
      </c>
      <c r="J12" s="95">
        <f t="shared" si="0"/>
        <v>0</v>
      </c>
    </row>
    <row r="13" spans="2:10" x14ac:dyDescent="0.55000000000000004">
      <c r="G13">
        <v>74</v>
      </c>
      <c r="H13" s="95">
        <f t="shared" si="1"/>
        <v>4978.96</v>
      </c>
      <c r="I13" s="95">
        <f t="shared" si="2"/>
        <v>4229.12</v>
      </c>
      <c r="J13" s="95">
        <f t="shared" si="0"/>
        <v>0</v>
      </c>
    </row>
    <row r="14" spans="2:10" x14ac:dyDescent="0.55000000000000004">
      <c r="G14">
        <v>75</v>
      </c>
      <c r="H14" s="95">
        <f t="shared" si="1"/>
        <v>4978.96</v>
      </c>
      <c r="I14" s="95">
        <f t="shared" si="2"/>
        <v>4229.12</v>
      </c>
      <c r="J14" s="95">
        <f t="shared" si="0"/>
        <v>0</v>
      </c>
    </row>
    <row r="15" spans="2:10" x14ac:dyDescent="0.55000000000000004">
      <c r="G15">
        <v>76</v>
      </c>
      <c r="H15" s="95">
        <f t="shared" si="1"/>
        <v>4978.96</v>
      </c>
      <c r="I15" s="95">
        <f t="shared" si="2"/>
        <v>4229.12</v>
      </c>
      <c r="J15" s="95">
        <f t="shared" si="0"/>
        <v>0</v>
      </c>
    </row>
    <row r="16" spans="2:10" x14ac:dyDescent="0.55000000000000004">
      <c r="G16">
        <v>77</v>
      </c>
      <c r="H16" s="95">
        <f t="shared" si="1"/>
        <v>4978.96</v>
      </c>
      <c r="I16" s="95">
        <f t="shared" si="2"/>
        <v>4229.12</v>
      </c>
      <c r="J16" s="95">
        <f t="shared" si="0"/>
        <v>0</v>
      </c>
    </row>
    <row r="17" spans="3:10" x14ac:dyDescent="0.55000000000000004">
      <c r="C17" t="s">
        <v>129</v>
      </c>
      <c r="D17" s="93">
        <v>0.01</v>
      </c>
      <c r="G17">
        <v>78</v>
      </c>
      <c r="H17" s="95">
        <f t="shared" si="1"/>
        <v>4978.96</v>
      </c>
      <c r="I17" s="95">
        <f t="shared" si="2"/>
        <v>4229.12</v>
      </c>
      <c r="J17" s="95">
        <f t="shared" si="0"/>
        <v>0</v>
      </c>
    </row>
    <row r="18" spans="3:10" x14ac:dyDescent="0.55000000000000004">
      <c r="C18" t="s">
        <v>130</v>
      </c>
      <c r="D18" s="93">
        <v>0.01</v>
      </c>
      <c r="G18">
        <v>79</v>
      </c>
      <c r="H18" s="95">
        <f t="shared" si="1"/>
        <v>4978.96</v>
      </c>
      <c r="I18" s="95">
        <f t="shared" si="2"/>
        <v>4229.12</v>
      </c>
      <c r="J18" s="95">
        <f t="shared" si="0"/>
        <v>0</v>
      </c>
    </row>
    <row r="19" spans="3:10" x14ac:dyDescent="0.55000000000000004">
      <c r="C19" t="s">
        <v>134</v>
      </c>
      <c r="D19" s="93">
        <f>+((1+D17)/(1+D18))-1</f>
        <v>0</v>
      </c>
      <c r="G19">
        <v>80</v>
      </c>
      <c r="H19" s="95">
        <f>H18+(H18*$D$6)</f>
        <v>4978.96</v>
      </c>
      <c r="I19" s="95">
        <f>I18+(I18*$D$9)</f>
        <v>4229.12</v>
      </c>
      <c r="J19" s="95">
        <f>J18+(J18*$D$12)</f>
        <v>0</v>
      </c>
    </row>
    <row r="20" spans="3:10" x14ac:dyDescent="0.55000000000000004">
      <c r="G20">
        <v>81</v>
      </c>
      <c r="H20" s="95">
        <f t="shared" si="1"/>
        <v>4978.96</v>
      </c>
      <c r="I20" s="95">
        <f t="shared" si="2"/>
        <v>4229.12</v>
      </c>
      <c r="J20" s="95">
        <f t="shared" si="0"/>
        <v>0</v>
      </c>
    </row>
    <row r="21" spans="3:10" x14ac:dyDescent="0.55000000000000004">
      <c r="G21">
        <v>82</v>
      </c>
      <c r="H21" s="95">
        <f t="shared" si="1"/>
        <v>4978.96</v>
      </c>
      <c r="I21" s="95">
        <f t="shared" si="2"/>
        <v>4229.12</v>
      </c>
      <c r="J21" s="95">
        <f t="shared" si="0"/>
        <v>0</v>
      </c>
    </row>
    <row r="22" spans="3:10" x14ac:dyDescent="0.55000000000000004">
      <c r="G22">
        <v>83</v>
      </c>
      <c r="H22" s="95">
        <f t="shared" si="1"/>
        <v>4978.96</v>
      </c>
      <c r="I22" s="95">
        <f t="shared" si="2"/>
        <v>4229.12</v>
      </c>
      <c r="J22" s="95">
        <f t="shared" si="0"/>
        <v>0</v>
      </c>
    </row>
    <row r="23" spans="3:10" x14ac:dyDescent="0.55000000000000004">
      <c r="D23">
        <f>+D5*(1+D6)^15</f>
        <v>4978.96</v>
      </c>
      <c r="G23">
        <v>84</v>
      </c>
      <c r="H23" s="95">
        <f t="shared" si="1"/>
        <v>4978.96</v>
      </c>
      <c r="I23" s="95">
        <f t="shared" si="2"/>
        <v>4229.12</v>
      </c>
      <c r="J23" s="95">
        <f t="shared" si="0"/>
        <v>0</v>
      </c>
    </row>
    <row r="24" spans="3:10" x14ac:dyDescent="0.55000000000000004">
      <c r="G24">
        <v>85</v>
      </c>
      <c r="H24" s="95">
        <f t="shared" si="1"/>
        <v>4978.96</v>
      </c>
      <c r="I24" s="95">
        <f t="shared" si="2"/>
        <v>4229.12</v>
      </c>
      <c r="J24" s="95">
        <f t="shared" si="0"/>
        <v>0</v>
      </c>
    </row>
    <row r="25" spans="3:10" x14ac:dyDescent="0.55000000000000004">
      <c r="G25">
        <v>86</v>
      </c>
      <c r="H25" s="95">
        <f t="shared" si="1"/>
        <v>4978.96</v>
      </c>
      <c r="I25" s="95">
        <f t="shared" si="2"/>
        <v>4229.12</v>
      </c>
      <c r="J25" s="95">
        <f t="shared" si="0"/>
        <v>0</v>
      </c>
    </row>
    <row r="26" spans="3:10" x14ac:dyDescent="0.55000000000000004">
      <c r="C26">
        <f>1/0.0497896</f>
        <v>20.084515641820779</v>
      </c>
      <c r="G26">
        <v>87</v>
      </c>
      <c r="H26" s="95">
        <f t="shared" si="1"/>
        <v>4978.96</v>
      </c>
      <c r="I26" s="95">
        <f t="shared" si="2"/>
        <v>4229.12</v>
      </c>
      <c r="J26" s="95">
        <f t="shared" si="0"/>
        <v>0</v>
      </c>
    </row>
    <row r="27" spans="3:10" x14ac:dyDescent="0.55000000000000004">
      <c r="G27">
        <v>88</v>
      </c>
      <c r="H27" s="95">
        <f t="shared" si="1"/>
        <v>4978.96</v>
      </c>
      <c r="I27" s="95">
        <f t="shared" si="2"/>
        <v>4229.12</v>
      </c>
      <c r="J27" s="95">
        <f t="shared" si="0"/>
        <v>0</v>
      </c>
    </row>
    <row r="28" spans="3:10" x14ac:dyDescent="0.55000000000000004">
      <c r="C28">
        <f>1/0.0422912</f>
        <v>23.645581113801452</v>
      </c>
      <c r="G28">
        <v>89</v>
      </c>
      <c r="H28" s="95">
        <f t="shared" si="1"/>
        <v>4978.96</v>
      </c>
      <c r="I28" s="95">
        <f t="shared" si="2"/>
        <v>4229.12</v>
      </c>
      <c r="J28" s="95">
        <f t="shared" si="0"/>
        <v>0</v>
      </c>
    </row>
    <row r="29" spans="3:10" x14ac:dyDescent="0.55000000000000004">
      <c r="G29">
        <v>90</v>
      </c>
      <c r="H29" s="95">
        <f t="shared" si="1"/>
        <v>4978.96</v>
      </c>
      <c r="I29" s="95">
        <f t="shared" si="2"/>
        <v>4229.12</v>
      </c>
      <c r="J29" s="95">
        <f t="shared" si="0"/>
        <v>0</v>
      </c>
    </row>
    <row r="30" spans="3:10" x14ac:dyDescent="0.55000000000000004">
      <c r="G30">
        <v>91</v>
      </c>
      <c r="H30" s="95">
        <f t="shared" si="1"/>
        <v>4978.96</v>
      </c>
      <c r="I30" s="95">
        <f t="shared" si="2"/>
        <v>4229.12</v>
      </c>
      <c r="J30" s="95">
        <f t="shared" si="0"/>
        <v>0</v>
      </c>
    </row>
    <row r="31" spans="3:10" x14ac:dyDescent="0.55000000000000004">
      <c r="C31">
        <f>1/0.0331322</f>
        <v>30.18211890547564</v>
      </c>
      <c r="G31">
        <v>92</v>
      </c>
      <c r="H31" s="95">
        <f t="shared" si="1"/>
        <v>4978.96</v>
      </c>
      <c r="I31" s="95">
        <f t="shared" si="2"/>
        <v>4229.12</v>
      </c>
      <c r="J31" s="95">
        <f t="shared" si="0"/>
        <v>0</v>
      </c>
    </row>
    <row r="32" spans="3:10" x14ac:dyDescent="0.55000000000000004">
      <c r="G32">
        <v>93</v>
      </c>
      <c r="H32" s="95">
        <f t="shared" si="1"/>
        <v>4978.96</v>
      </c>
      <c r="I32" s="95">
        <f t="shared" si="2"/>
        <v>4229.12</v>
      </c>
      <c r="J32" s="95">
        <f t="shared" si="0"/>
        <v>0</v>
      </c>
    </row>
    <row r="33" spans="7:10" x14ac:dyDescent="0.55000000000000004">
      <c r="G33">
        <v>94</v>
      </c>
      <c r="H33" s="95">
        <f t="shared" si="1"/>
        <v>4978.96</v>
      </c>
      <c r="I33" s="95">
        <f t="shared" si="2"/>
        <v>4229.12</v>
      </c>
      <c r="J33" s="95">
        <f t="shared" si="0"/>
        <v>0</v>
      </c>
    </row>
    <row r="34" spans="7:10" x14ac:dyDescent="0.55000000000000004">
      <c r="G34">
        <v>95</v>
      </c>
      <c r="H34" s="95">
        <f t="shared" si="1"/>
        <v>4978.96</v>
      </c>
      <c r="I34" s="95">
        <f t="shared" si="2"/>
        <v>4229.12</v>
      </c>
      <c r="J34" s="95">
        <f t="shared" si="0"/>
        <v>0</v>
      </c>
    </row>
    <row r="35" spans="7:10" x14ac:dyDescent="0.55000000000000004">
      <c r="G35">
        <v>96</v>
      </c>
      <c r="H35" s="95">
        <f t="shared" si="1"/>
        <v>4978.96</v>
      </c>
      <c r="I35" s="95">
        <f t="shared" si="2"/>
        <v>4229.12</v>
      </c>
      <c r="J35" s="95">
        <f t="shared" si="0"/>
        <v>0</v>
      </c>
    </row>
    <row r="36" spans="7:10" x14ac:dyDescent="0.55000000000000004">
      <c r="G36">
        <v>97</v>
      </c>
      <c r="H36" s="95">
        <f t="shared" ref="H36:H45" si="3">H35+(H35*$D$6)</f>
        <v>4978.96</v>
      </c>
      <c r="I36" s="95">
        <f t="shared" si="2"/>
        <v>4229.12</v>
      </c>
      <c r="J36" s="95">
        <f t="shared" si="0"/>
        <v>0</v>
      </c>
    </row>
    <row r="37" spans="7:10" x14ac:dyDescent="0.55000000000000004">
      <c r="G37">
        <v>98</v>
      </c>
      <c r="H37" s="95">
        <f t="shared" si="3"/>
        <v>4978.96</v>
      </c>
      <c r="I37" s="95">
        <f t="shared" si="2"/>
        <v>4229.12</v>
      </c>
      <c r="J37" s="95">
        <f t="shared" si="0"/>
        <v>0</v>
      </c>
    </row>
    <row r="38" spans="7:10" x14ac:dyDescent="0.55000000000000004">
      <c r="G38">
        <v>99</v>
      </c>
      <c r="H38" s="95">
        <f t="shared" si="3"/>
        <v>4978.96</v>
      </c>
      <c r="I38" s="95">
        <f t="shared" si="2"/>
        <v>4229.12</v>
      </c>
      <c r="J38" s="95">
        <f t="shared" si="0"/>
        <v>0</v>
      </c>
    </row>
    <row r="39" spans="7:10" x14ac:dyDescent="0.55000000000000004">
      <c r="G39">
        <v>100</v>
      </c>
      <c r="H39" s="95">
        <f t="shared" si="3"/>
        <v>4978.96</v>
      </c>
      <c r="I39" s="95">
        <f t="shared" si="2"/>
        <v>4229.12</v>
      </c>
      <c r="J39" s="95">
        <f t="shared" ref="J39:J60" si="4">J38+(J38*$D$12)</f>
        <v>0</v>
      </c>
    </row>
    <row r="40" spans="7:10" x14ac:dyDescent="0.55000000000000004">
      <c r="G40">
        <v>101</v>
      </c>
      <c r="H40" s="95">
        <f t="shared" si="3"/>
        <v>4978.96</v>
      </c>
      <c r="I40" s="95">
        <f t="shared" si="2"/>
        <v>4229.12</v>
      </c>
      <c r="J40" s="95">
        <f t="shared" si="4"/>
        <v>0</v>
      </c>
    </row>
    <row r="41" spans="7:10" x14ac:dyDescent="0.55000000000000004">
      <c r="G41">
        <v>102</v>
      </c>
      <c r="H41" s="95">
        <f t="shared" si="3"/>
        <v>4978.96</v>
      </c>
      <c r="I41" s="95">
        <f t="shared" si="2"/>
        <v>4229.12</v>
      </c>
      <c r="J41" s="95">
        <f t="shared" si="4"/>
        <v>0</v>
      </c>
    </row>
    <row r="42" spans="7:10" x14ac:dyDescent="0.55000000000000004">
      <c r="G42">
        <v>103</v>
      </c>
      <c r="H42" s="95">
        <f t="shared" si="3"/>
        <v>4978.96</v>
      </c>
      <c r="I42" s="95">
        <f t="shared" si="2"/>
        <v>4229.12</v>
      </c>
      <c r="J42" s="95">
        <f t="shared" si="4"/>
        <v>0</v>
      </c>
    </row>
    <row r="43" spans="7:10" x14ac:dyDescent="0.55000000000000004">
      <c r="G43">
        <v>104</v>
      </c>
      <c r="H43" s="95">
        <f t="shared" si="3"/>
        <v>4978.96</v>
      </c>
      <c r="I43" s="95">
        <f t="shared" si="2"/>
        <v>4229.12</v>
      </c>
      <c r="J43" s="95">
        <f t="shared" si="4"/>
        <v>0</v>
      </c>
    </row>
    <row r="44" spans="7:10" x14ac:dyDescent="0.55000000000000004">
      <c r="G44">
        <v>105</v>
      </c>
      <c r="H44" s="95">
        <f t="shared" si="3"/>
        <v>4978.96</v>
      </c>
      <c r="I44" s="95">
        <f t="shared" si="2"/>
        <v>4229.12</v>
      </c>
      <c r="J44" s="95">
        <f t="shared" si="4"/>
        <v>0</v>
      </c>
    </row>
    <row r="45" spans="7:10" x14ac:dyDescent="0.55000000000000004">
      <c r="G45">
        <v>106</v>
      </c>
      <c r="H45" s="95">
        <f t="shared" si="3"/>
        <v>4978.96</v>
      </c>
      <c r="I45" s="95">
        <f t="shared" si="2"/>
        <v>4229.12</v>
      </c>
      <c r="J45" s="95">
        <f t="shared" si="4"/>
        <v>0</v>
      </c>
    </row>
    <row r="46" spans="7:10" x14ac:dyDescent="0.55000000000000004">
      <c r="G46">
        <v>107</v>
      </c>
      <c r="H46" s="95">
        <f t="shared" ref="H46:H60" si="5">H45+(H45*$D$6)</f>
        <v>4978.96</v>
      </c>
      <c r="I46" s="95">
        <f t="shared" si="2"/>
        <v>4229.12</v>
      </c>
      <c r="J46" s="95">
        <f t="shared" si="4"/>
        <v>0</v>
      </c>
    </row>
    <row r="47" spans="7:10" x14ac:dyDescent="0.55000000000000004">
      <c r="G47">
        <v>108</v>
      </c>
      <c r="H47" s="95">
        <f t="shared" si="5"/>
        <v>4978.96</v>
      </c>
      <c r="I47" s="95">
        <f t="shared" si="2"/>
        <v>4229.12</v>
      </c>
      <c r="J47" s="95">
        <f t="shared" si="4"/>
        <v>0</v>
      </c>
    </row>
    <row r="48" spans="7:10" x14ac:dyDescent="0.55000000000000004">
      <c r="G48">
        <v>109</v>
      </c>
      <c r="H48" s="95">
        <f t="shared" si="5"/>
        <v>4978.96</v>
      </c>
      <c r="I48" s="95">
        <f t="shared" si="2"/>
        <v>4229.12</v>
      </c>
      <c r="J48" s="95">
        <f t="shared" si="4"/>
        <v>0</v>
      </c>
    </row>
    <row r="49" spans="7:10" x14ac:dyDescent="0.55000000000000004">
      <c r="G49">
        <v>110</v>
      </c>
      <c r="H49" s="95">
        <f t="shared" si="5"/>
        <v>4978.96</v>
      </c>
      <c r="I49" s="95">
        <f t="shared" si="2"/>
        <v>4229.12</v>
      </c>
      <c r="J49" s="95">
        <f t="shared" si="4"/>
        <v>0</v>
      </c>
    </row>
    <row r="50" spans="7:10" x14ac:dyDescent="0.55000000000000004">
      <c r="G50">
        <v>111</v>
      </c>
      <c r="H50" s="95">
        <f t="shared" si="5"/>
        <v>4978.96</v>
      </c>
      <c r="I50" s="95">
        <f t="shared" si="2"/>
        <v>4229.12</v>
      </c>
      <c r="J50" s="95">
        <f t="shared" si="4"/>
        <v>0</v>
      </c>
    </row>
    <row r="51" spans="7:10" x14ac:dyDescent="0.55000000000000004">
      <c r="G51">
        <v>112</v>
      </c>
      <c r="H51" s="95">
        <f t="shared" si="5"/>
        <v>4978.96</v>
      </c>
      <c r="I51" s="95">
        <f t="shared" si="2"/>
        <v>4229.12</v>
      </c>
      <c r="J51" s="95">
        <f t="shared" si="4"/>
        <v>0</v>
      </c>
    </row>
    <row r="52" spans="7:10" x14ac:dyDescent="0.55000000000000004">
      <c r="G52">
        <v>113</v>
      </c>
      <c r="H52" s="95">
        <f t="shared" si="5"/>
        <v>4978.96</v>
      </c>
      <c r="I52" s="95">
        <f t="shared" si="2"/>
        <v>4229.12</v>
      </c>
      <c r="J52" s="95">
        <f t="shared" si="4"/>
        <v>0</v>
      </c>
    </row>
    <row r="53" spans="7:10" x14ac:dyDescent="0.55000000000000004">
      <c r="G53">
        <v>114</v>
      </c>
      <c r="H53" s="95">
        <f t="shared" si="5"/>
        <v>4978.96</v>
      </c>
      <c r="I53" s="95">
        <f t="shared" si="2"/>
        <v>4229.12</v>
      </c>
      <c r="J53" s="95">
        <f t="shared" si="4"/>
        <v>0</v>
      </c>
    </row>
    <row r="54" spans="7:10" x14ac:dyDescent="0.55000000000000004">
      <c r="G54">
        <v>115</v>
      </c>
      <c r="H54" s="95">
        <f t="shared" si="5"/>
        <v>4978.96</v>
      </c>
      <c r="I54" s="95">
        <f t="shared" si="2"/>
        <v>4229.12</v>
      </c>
      <c r="J54" s="95">
        <f t="shared" si="4"/>
        <v>0</v>
      </c>
    </row>
    <row r="55" spans="7:10" x14ac:dyDescent="0.55000000000000004">
      <c r="G55">
        <v>116</v>
      </c>
      <c r="H55" s="95">
        <f t="shared" si="5"/>
        <v>4978.96</v>
      </c>
      <c r="I55" s="95">
        <f t="shared" si="2"/>
        <v>4229.12</v>
      </c>
      <c r="J55" s="95">
        <f t="shared" si="4"/>
        <v>0</v>
      </c>
    </row>
    <row r="56" spans="7:10" x14ac:dyDescent="0.55000000000000004">
      <c r="G56">
        <v>117</v>
      </c>
      <c r="H56" s="95">
        <f t="shared" si="5"/>
        <v>4978.96</v>
      </c>
      <c r="I56" s="95">
        <f t="shared" si="2"/>
        <v>4229.12</v>
      </c>
      <c r="J56" s="95">
        <f t="shared" si="4"/>
        <v>0</v>
      </c>
    </row>
    <row r="57" spans="7:10" x14ac:dyDescent="0.55000000000000004">
      <c r="G57">
        <v>118</v>
      </c>
      <c r="H57" s="95">
        <f t="shared" si="5"/>
        <v>4978.96</v>
      </c>
      <c r="I57" s="95">
        <f t="shared" si="2"/>
        <v>4229.12</v>
      </c>
      <c r="J57" s="95">
        <f t="shared" si="4"/>
        <v>0</v>
      </c>
    </row>
    <row r="58" spans="7:10" x14ac:dyDescent="0.55000000000000004">
      <c r="G58">
        <v>119</v>
      </c>
      <c r="H58" s="95">
        <f t="shared" si="5"/>
        <v>4978.96</v>
      </c>
      <c r="I58" s="95">
        <f t="shared" si="2"/>
        <v>4229.12</v>
      </c>
      <c r="J58" s="95">
        <f t="shared" si="4"/>
        <v>0</v>
      </c>
    </row>
    <row r="59" spans="7:10" x14ac:dyDescent="0.55000000000000004">
      <c r="G59">
        <v>120</v>
      </c>
      <c r="H59" s="95">
        <f t="shared" si="5"/>
        <v>4978.96</v>
      </c>
      <c r="I59" s="95">
        <f t="shared" si="2"/>
        <v>4229.12</v>
      </c>
      <c r="J59" s="95">
        <f t="shared" si="4"/>
        <v>0</v>
      </c>
    </row>
    <row r="60" spans="7:10" x14ac:dyDescent="0.55000000000000004">
      <c r="G60">
        <v>121</v>
      </c>
      <c r="H60" s="95">
        <f t="shared" si="5"/>
        <v>4978.96</v>
      </c>
      <c r="I60" s="95">
        <f t="shared" si="2"/>
        <v>4229.12</v>
      </c>
      <c r="J60" s="95">
        <f t="shared" si="4"/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11</vt:i4>
      </vt:variant>
    </vt:vector>
  </HeadingPairs>
  <TitlesOfParts>
    <vt:vector size="11" baseType="lpstr">
      <vt:lpstr>FPA</vt:lpstr>
      <vt:lpstr>FPN_FONTE</vt:lpstr>
      <vt:lpstr>FPN_COMETA</vt:lpstr>
      <vt:lpstr>PERSEO</vt:lpstr>
      <vt:lpstr>TFR</vt:lpstr>
      <vt:lpstr>TFR_VS_FPN</vt:lpstr>
      <vt:lpstr>FPA_VS_ETF</vt:lpstr>
      <vt:lpstr>ETFVsETF</vt:lpstr>
      <vt:lpstr>Rendite</vt:lpstr>
      <vt:lpstr>Foglio1</vt:lpstr>
      <vt:lpstr>Note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Federico Nonni</dc:creator>
  <cp:lastModifiedBy>Federico Nonni</cp:lastModifiedBy>
  <dcterms:created xsi:type="dcterms:W3CDTF">2023-08-14T19:56:16Z</dcterms:created>
  <dcterms:modified xsi:type="dcterms:W3CDTF">2025-10-20T14:43:06Z</dcterms:modified>
</cp:coreProperties>
</file>