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ysia\Atalia RI Dropbox\Lysiane Randriamarolahy\001 a imprimer\lysiane\0001 DOSSIERS MANDATS 2026\000001 templates à vendre\a vendre protege\"/>
    </mc:Choice>
  </mc:AlternateContent>
  <xr:revisionPtr revIDLastSave="0" documentId="13_ncr:1_{F65927F9-1872-4627-A903-5EDFB79AFABB}" xr6:coauthVersionLast="47" xr6:coauthVersionMax="47" xr10:uidLastSave="{00000000-0000-0000-0000-000000000000}"/>
  <bookViews>
    <workbookView xWindow="-108" yWindow="-108" windowWidth="23256" windowHeight="12456" tabRatio="500" firstSheet="3" activeTab="5" xr2:uid="{00000000-000D-0000-FFFF-FFFF00000000}"/>
  </bookViews>
  <sheets>
    <sheet name="Guide" sheetId="1" r:id="rId1"/>
    <sheet name="Stratégie de Communication" sheetId="2" r:id="rId2"/>
    <sheet name="Plan Hebdomadaire S1" sheetId="3" r:id="rId3"/>
    <sheet name="Plan Hebdomadaire S2" sheetId="5" r:id="rId4"/>
    <sheet name="Plan Mensuel S1" sheetId="4" r:id="rId5"/>
    <sheet name="Plan Mensuel S2" sheetId="6" r:id="rId6"/>
    <sheet name="Plan Annuel" sheetId="7" r:id="rId7"/>
    <sheet name="Tableau de Bord" sheetId="8" r:id="rId8"/>
    <sheet name="Listes" sheetId="9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2" i="8" l="1"/>
  <c r="C31" i="8"/>
  <c r="C30" i="8"/>
  <c r="C29" i="8"/>
  <c r="C28" i="8"/>
  <c r="C27" i="8"/>
  <c r="C26" i="8"/>
  <c r="C25" i="8"/>
  <c r="C22" i="8"/>
  <c r="C21" i="8"/>
  <c r="C20" i="8"/>
  <c r="C19" i="8"/>
  <c r="C18" i="8"/>
  <c r="C17" i="8"/>
  <c r="C16" i="8"/>
  <c r="C15" i="8"/>
  <c r="C14" i="8"/>
  <c r="C13" i="8"/>
  <c r="D9" i="8"/>
  <c r="D8" i="8"/>
  <c r="D7" i="8"/>
  <c r="D6" i="8"/>
  <c r="D5" i="8"/>
  <c r="D17" i="7"/>
  <c r="C17" i="7"/>
  <c r="D16" i="7"/>
  <c r="C16" i="7"/>
  <c r="D15" i="7"/>
  <c r="C15" i="7"/>
  <c r="D14" i="7"/>
  <c r="C14" i="7"/>
  <c r="D13" i="7"/>
  <c r="C13" i="7"/>
  <c r="D12" i="7"/>
  <c r="C12" i="7"/>
  <c r="D11" i="7"/>
  <c r="C11" i="7"/>
  <c r="D10" i="7"/>
  <c r="C10" i="7"/>
  <c r="D9" i="7"/>
  <c r="C9" i="7"/>
  <c r="D8" i="7"/>
  <c r="C8" i="7"/>
  <c r="B8" i="7"/>
  <c r="B38" i="8" s="1"/>
  <c r="D7" i="7"/>
  <c r="C7" i="7"/>
  <c r="D6" i="7"/>
  <c r="C6" i="7"/>
  <c r="C151" i="5"/>
  <c r="C97" i="5"/>
  <c r="C79" i="5"/>
  <c r="C70" i="5"/>
  <c r="C52" i="5"/>
  <c r="C44" i="5"/>
  <c r="N44" i="5" s="1"/>
  <c r="C34" i="5"/>
  <c r="C26" i="5"/>
  <c r="C16" i="5"/>
  <c r="C8" i="5"/>
  <c r="N8" i="5" s="1"/>
  <c r="B11" i="4"/>
  <c r="B11" i="7" s="1"/>
  <c r="B41" i="8" s="1"/>
  <c r="B10" i="4"/>
  <c r="B10" i="7" s="1"/>
  <c r="B40" i="8" s="1"/>
  <c r="B9" i="4"/>
  <c r="B9" i="7" s="1"/>
  <c r="B39" i="8" s="1"/>
  <c r="B8" i="4"/>
  <c r="B7" i="4"/>
  <c r="B7" i="7" s="1"/>
  <c r="B37" i="8" s="1"/>
  <c r="B6" i="4"/>
  <c r="B6" i="7" s="1"/>
  <c r="B36" i="8" s="1"/>
  <c r="N187" i="3"/>
  <c r="D187" i="3"/>
  <c r="C187" i="3"/>
  <c r="B187" i="3"/>
  <c r="D186" i="3"/>
  <c r="C186" i="3"/>
  <c r="N185" i="3"/>
  <c r="C185" i="3"/>
  <c r="D185" i="3" s="1"/>
  <c r="C184" i="3"/>
  <c r="B184" i="3" s="1"/>
  <c r="N183" i="3"/>
  <c r="C183" i="3"/>
  <c r="D183" i="3" s="1"/>
  <c r="B183" i="3"/>
  <c r="C182" i="3"/>
  <c r="D182" i="3" s="1"/>
  <c r="C181" i="3"/>
  <c r="N181" i="3" s="1"/>
  <c r="N180" i="3"/>
  <c r="D180" i="3"/>
  <c r="C180" i="3"/>
  <c r="B180" i="3"/>
  <c r="N179" i="3"/>
  <c r="C179" i="3"/>
  <c r="D179" i="3" s="1"/>
  <c r="B179" i="3"/>
  <c r="C178" i="3"/>
  <c r="B178" i="3"/>
  <c r="C177" i="3"/>
  <c r="C176" i="3"/>
  <c r="N175" i="3"/>
  <c r="D175" i="3"/>
  <c r="C175" i="3"/>
  <c r="B175" i="3"/>
  <c r="N174" i="3"/>
  <c r="D174" i="3"/>
  <c r="C174" i="3"/>
  <c r="B174" i="3"/>
  <c r="C173" i="3"/>
  <c r="B173" i="3"/>
  <c r="D172" i="3"/>
  <c r="C172" i="3"/>
  <c r="N172" i="3" s="1"/>
  <c r="C171" i="3"/>
  <c r="B171" i="3" s="1"/>
  <c r="N170" i="3"/>
  <c r="C170" i="3"/>
  <c r="D170" i="3" s="1"/>
  <c r="B170" i="3"/>
  <c r="C169" i="3"/>
  <c r="C168" i="3"/>
  <c r="N168" i="3" s="1"/>
  <c r="C167" i="3"/>
  <c r="N166" i="3"/>
  <c r="D166" i="3"/>
  <c r="C166" i="3"/>
  <c r="B166" i="3"/>
  <c r="C165" i="3"/>
  <c r="B165" i="3" s="1"/>
  <c r="N164" i="3"/>
  <c r="C164" i="3"/>
  <c r="D164" i="3" s="1"/>
  <c r="B164" i="3"/>
  <c r="D163" i="3"/>
  <c r="C163" i="3"/>
  <c r="N162" i="3"/>
  <c r="D162" i="3"/>
  <c r="C162" i="3"/>
  <c r="B162" i="3"/>
  <c r="C161" i="3"/>
  <c r="N161" i="3" s="1"/>
  <c r="C160" i="3"/>
  <c r="D160" i="3" s="1"/>
  <c r="B160" i="3"/>
  <c r="D159" i="3"/>
  <c r="C159" i="3"/>
  <c r="N159" i="3" s="1"/>
  <c r="C158" i="3"/>
  <c r="D158" i="3" s="1"/>
  <c r="B158" i="3"/>
  <c r="N157" i="3"/>
  <c r="D157" i="3"/>
  <c r="C157" i="3"/>
  <c r="B157" i="3"/>
  <c r="C156" i="3"/>
  <c r="C155" i="3"/>
  <c r="B155" i="3"/>
  <c r="N154" i="3"/>
  <c r="C154" i="3"/>
  <c r="B154" i="3" s="1"/>
  <c r="N153" i="3"/>
  <c r="D153" i="3"/>
  <c r="C153" i="3"/>
  <c r="B153" i="3"/>
  <c r="N152" i="3"/>
  <c r="C152" i="3"/>
  <c r="D152" i="3" s="1"/>
  <c r="B152" i="3"/>
  <c r="C151" i="3"/>
  <c r="B151" i="3" s="1"/>
  <c r="C150" i="3"/>
  <c r="N149" i="3"/>
  <c r="D149" i="3"/>
  <c r="C149" i="3"/>
  <c r="B149" i="3"/>
  <c r="C148" i="3"/>
  <c r="N148" i="3" s="1"/>
  <c r="B148" i="3"/>
  <c r="D147" i="3"/>
  <c r="C147" i="3"/>
  <c r="N146" i="3"/>
  <c r="D146" i="3"/>
  <c r="C146" i="3"/>
  <c r="B146" i="3"/>
  <c r="N145" i="3"/>
  <c r="D145" i="3"/>
  <c r="C145" i="3"/>
  <c r="B145" i="3"/>
  <c r="C144" i="3"/>
  <c r="D144" i="3" s="1"/>
  <c r="N143" i="3"/>
  <c r="D143" i="3"/>
  <c r="C143" i="3"/>
  <c r="B143" i="3"/>
  <c r="C142" i="3"/>
  <c r="N142" i="3" s="1"/>
  <c r="B142" i="3"/>
  <c r="C141" i="3"/>
  <c r="N140" i="3"/>
  <c r="D140" i="3"/>
  <c r="C140" i="3"/>
  <c r="B140" i="3"/>
  <c r="D139" i="3"/>
  <c r="C139" i="3"/>
  <c r="N139" i="3" s="1"/>
  <c r="C138" i="3"/>
  <c r="D138" i="3" s="1"/>
  <c r="N137" i="3"/>
  <c r="D137" i="3"/>
  <c r="C137" i="3"/>
  <c r="B137" i="3"/>
  <c r="N136" i="3"/>
  <c r="C136" i="3"/>
  <c r="D136" i="3" s="1"/>
  <c r="B136" i="3"/>
  <c r="C135" i="3"/>
  <c r="N134" i="3"/>
  <c r="D134" i="3"/>
  <c r="C134" i="3"/>
  <c r="B134" i="3"/>
  <c r="C133" i="3"/>
  <c r="B133" i="3" s="1"/>
  <c r="C132" i="3"/>
  <c r="N131" i="3"/>
  <c r="D131" i="3"/>
  <c r="C131" i="3"/>
  <c r="B131" i="3"/>
  <c r="C130" i="3"/>
  <c r="N130" i="3" s="1"/>
  <c r="B130" i="3"/>
  <c r="D129" i="3"/>
  <c r="C129" i="3"/>
  <c r="N128" i="3"/>
  <c r="D128" i="3"/>
  <c r="C128" i="3"/>
  <c r="B128" i="3"/>
  <c r="N127" i="3"/>
  <c r="D127" i="3"/>
  <c r="C127" i="3"/>
  <c r="B127" i="3"/>
  <c r="C126" i="3"/>
  <c r="N125" i="3"/>
  <c r="D125" i="3"/>
  <c r="C125" i="3"/>
  <c r="B125" i="3"/>
  <c r="C124" i="3"/>
  <c r="N124" i="3" s="1"/>
  <c r="B124" i="3"/>
  <c r="C123" i="3"/>
  <c r="N122" i="3"/>
  <c r="D122" i="3"/>
  <c r="C122" i="3"/>
  <c r="B122" i="3"/>
  <c r="D121" i="3"/>
  <c r="C121" i="3"/>
  <c r="N121" i="3" s="1"/>
  <c r="B121" i="3"/>
  <c r="C120" i="3"/>
  <c r="D120" i="3" s="1"/>
  <c r="N119" i="3"/>
  <c r="D119" i="3"/>
  <c r="C119" i="3"/>
  <c r="B119" i="3"/>
  <c r="N118" i="3"/>
  <c r="C118" i="3"/>
  <c r="D118" i="3" s="1"/>
  <c r="B118" i="3"/>
  <c r="C117" i="3"/>
  <c r="N116" i="3"/>
  <c r="D116" i="3"/>
  <c r="C116" i="3"/>
  <c r="B116" i="3"/>
  <c r="C115" i="3"/>
  <c r="B115" i="3" s="1"/>
  <c r="C114" i="3"/>
  <c r="D114" i="3" s="1"/>
  <c r="N113" i="3"/>
  <c r="D113" i="3"/>
  <c r="C113" i="3"/>
  <c r="B113" i="3"/>
  <c r="C112" i="3"/>
  <c r="N112" i="3" s="1"/>
  <c r="B112" i="3"/>
  <c r="D111" i="3"/>
  <c r="C111" i="3"/>
  <c r="N110" i="3"/>
  <c r="D110" i="3"/>
  <c r="C110" i="3"/>
  <c r="B110" i="3"/>
  <c r="N109" i="3"/>
  <c r="D109" i="3"/>
  <c r="C109" i="3"/>
  <c r="B109" i="3"/>
  <c r="C108" i="3"/>
  <c r="N107" i="3"/>
  <c r="D107" i="3"/>
  <c r="C107" i="3"/>
  <c r="B107" i="3"/>
  <c r="C106" i="3"/>
  <c r="N106" i="3" s="1"/>
  <c r="B106" i="3"/>
  <c r="C105" i="3"/>
  <c r="N104" i="3"/>
  <c r="D104" i="3"/>
  <c r="C104" i="3"/>
  <c r="B104" i="3"/>
  <c r="D103" i="3"/>
  <c r="C103" i="3"/>
  <c r="N103" i="3" s="1"/>
  <c r="B103" i="3"/>
  <c r="C102" i="3"/>
  <c r="D102" i="3" s="1"/>
  <c r="N101" i="3"/>
  <c r="D101" i="3"/>
  <c r="C101" i="3"/>
  <c r="B101" i="3"/>
  <c r="N100" i="3"/>
  <c r="C100" i="3"/>
  <c r="D100" i="3" s="1"/>
  <c r="B100" i="3"/>
  <c r="C99" i="3"/>
  <c r="N98" i="3"/>
  <c r="D98" i="3"/>
  <c r="C98" i="3"/>
  <c r="B98" i="3"/>
  <c r="C97" i="3"/>
  <c r="B97" i="3" s="1"/>
  <c r="C96" i="3"/>
  <c r="N95" i="3"/>
  <c r="D95" i="3"/>
  <c r="C95" i="3"/>
  <c r="B95" i="3"/>
  <c r="C94" i="3"/>
  <c r="N94" i="3" s="1"/>
  <c r="B94" i="3"/>
  <c r="D93" i="3"/>
  <c r="C93" i="3"/>
  <c r="N92" i="3"/>
  <c r="D92" i="3"/>
  <c r="C92" i="3"/>
  <c r="B92" i="3"/>
  <c r="N91" i="3"/>
  <c r="D91" i="3"/>
  <c r="C91" i="3"/>
  <c r="B91" i="3"/>
  <c r="C90" i="3"/>
  <c r="N89" i="3"/>
  <c r="D89" i="3"/>
  <c r="C89" i="3"/>
  <c r="B89" i="3"/>
  <c r="C88" i="3"/>
  <c r="N88" i="3" s="1"/>
  <c r="B88" i="3"/>
  <c r="C87" i="3"/>
  <c r="N86" i="3"/>
  <c r="D86" i="3"/>
  <c r="C86" i="3"/>
  <c r="B86" i="3"/>
  <c r="D85" i="3"/>
  <c r="C85" i="3"/>
  <c r="N85" i="3" s="1"/>
  <c r="B85" i="3"/>
  <c r="N84" i="3"/>
  <c r="D84" i="3"/>
  <c r="C84" i="3"/>
  <c r="B84" i="3" s="1"/>
  <c r="N83" i="3"/>
  <c r="D83" i="3"/>
  <c r="C83" i="3"/>
  <c r="B83" i="3"/>
  <c r="C82" i="3"/>
  <c r="N82" i="3" s="1"/>
  <c r="C81" i="3"/>
  <c r="B81" i="3" s="1"/>
  <c r="N80" i="3"/>
  <c r="D80" i="3"/>
  <c r="C80" i="3"/>
  <c r="B80" i="3"/>
  <c r="N79" i="3"/>
  <c r="C79" i="3"/>
  <c r="D79" i="3" s="1"/>
  <c r="B79" i="3"/>
  <c r="C78" i="3"/>
  <c r="B78" i="3" s="1"/>
  <c r="N77" i="3"/>
  <c r="D77" i="3"/>
  <c r="C77" i="3"/>
  <c r="B77" i="3"/>
  <c r="N76" i="3"/>
  <c r="D76" i="3"/>
  <c r="C76" i="3"/>
  <c r="B76" i="3"/>
  <c r="C75" i="3"/>
  <c r="B75" i="3" s="1"/>
  <c r="N74" i="3"/>
  <c r="D74" i="3"/>
  <c r="C74" i="3"/>
  <c r="B74" i="3"/>
  <c r="C73" i="3"/>
  <c r="B73" i="3" s="1"/>
  <c r="D72" i="3"/>
  <c r="C72" i="3"/>
  <c r="B72" i="3" s="1"/>
  <c r="N71" i="3"/>
  <c r="D71" i="3"/>
  <c r="C71" i="3"/>
  <c r="B71" i="3"/>
  <c r="C70" i="3"/>
  <c r="D70" i="3" s="1"/>
  <c r="B70" i="3"/>
  <c r="C69" i="3"/>
  <c r="B69" i="3" s="1"/>
  <c r="N68" i="3"/>
  <c r="D68" i="3"/>
  <c r="C68" i="3"/>
  <c r="B68" i="3"/>
  <c r="C67" i="3"/>
  <c r="N67" i="3" s="1"/>
  <c r="B67" i="3"/>
  <c r="N66" i="3"/>
  <c r="C66" i="3"/>
  <c r="B66" i="3" s="1"/>
  <c r="N65" i="3"/>
  <c r="D65" i="3"/>
  <c r="C65" i="3"/>
  <c r="B65" i="3"/>
  <c r="N64" i="3"/>
  <c r="C64" i="3"/>
  <c r="D64" i="3" s="1"/>
  <c r="B64" i="3"/>
  <c r="N63" i="3"/>
  <c r="D63" i="3"/>
  <c r="C63" i="3"/>
  <c r="B63" i="3" s="1"/>
  <c r="N62" i="3"/>
  <c r="D62" i="3"/>
  <c r="C62" i="3"/>
  <c r="B62" i="3"/>
  <c r="N61" i="3"/>
  <c r="D61" i="3"/>
  <c r="C61" i="3"/>
  <c r="B61" i="3"/>
  <c r="C60" i="3"/>
  <c r="B60" i="3" s="1"/>
  <c r="N59" i="3"/>
  <c r="D59" i="3"/>
  <c r="C59" i="3"/>
  <c r="B59" i="3"/>
  <c r="N58" i="3"/>
  <c r="D58" i="3"/>
  <c r="C58" i="3"/>
  <c r="B58" i="3"/>
  <c r="C57" i="3"/>
  <c r="B57" i="3" s="1"/>
  <c r="N56" i="3"/>
  <c r="D56" i="3"/>
  <c r="C56" i="3"/>
  <c r="B56" i="3"/>
  <c r="N55" i="3"/>
  <c r="D55" i="3"/>
  <c r="C55" i="3"/>
  <c r="B55" i="3"/>
  <c r="C54" i="3"/>
  <c r="B54" i="3" s="1"/>
  <c r="N53" i="3"/>
  <c r="D53" i="3"/>
  <c r="C53" i="3"/>
  <c r="B53" i="3"/>
  <c r="N52" i="3"/>
  <c r="D52" i="3"/>
  <c r="C52" i="3"/>
  <c r="B52" i="3"/>
  <c r="C51" i="3"/>
  <c r="B51" i="3" s="1"/>
  <c r="N50" i="3"/>
  <c r="D50" i="3"/>
  <c r="C50" i="3"/>
  <c r="B50" i="3"/>
  <c r="N49" i="3"/>
  <c r="D49" i="3"/>
  <c r="C49" i="3"/>
  <c r="B49" i="3"/>
  <c r="C48" i="3"/>
  <c r="B48" i="3" s="1"/>
  <c r="N47" i="3"/>
  <c r="D47" i="3"/>
  <c r="C47" i="3"/>
  <c r="B47" i="3"/>
  <c r="N46" i="3"/>
  <c r="D46" i="3"/>
  <c r="C46" i="3"/>
  <c r="B46" i="3"/>
  <c r="C45" i="3"/>
  <c r="B45" i="3" s="1"/>
  <c r="N44" i="3"/>
  <c r="D44" i="3"/>
  <c r="C44" i="3"/>
  <c r="B44" i="3"/>
  <c r="N43" i="3"/>
  <c r="D43" i="3"/>
  <c r="C43" i="3"/>
  <c r="B43" i="3"/>
  <c r="C42" i="3"/>
  <c r="B42" i="3" s="1"/>
  <c r="N41" i="3"/>
  <c r="D41" i="3"/>
  <c r="C41" i="3"/>
  <c r="B41" i="3"/>
  <c r="N40" i="3"/>
  <c r="D40" i="3"/>
  <c r="C40" i="3"/>
  <c r="B40" i="3"/>
  <c r="C39" i="3"/>
  <c r="B39" i="3" s="1"/>
  <c r="N38" i="3"/>
  <c r="D38" i="3"/>
  <c r="C38" i="3"/>
  <c r="B38" i="3"/>
  <c r="N37" i="3"/>
  <c r="D37" i="3"/>
  <c r="C37" i="3"/>
  <c r="B37" i="3"/>
  <c r="C36" i="3"/>
  <c r="B36" i="3" s="1"/>
  <c r="N35" i="3"/>
  <c r="D35" i="3"/>
  <c r="C35" i="3"/>
  <c r="B35" i="3"/>
  <c r="N34" i="3"/>
  <c r="D34" i="3"/>
  <c r="C34" i="3"/>
  <c r="B34" i="3"/>
  <c r="C33" i="3"/>
  <c r="B33" i="3" s="1"/>
  <c r="N32" i="3"/>
  <c r="D32" i="3"/>
  <c r="C32" i="3"/>
  <c r="B32" i="3"/>
  <c r="N31" i="3"/>
  <c r="D31" i="3"/>
  <c r="C31" i="3"/>
  <c r="B31" i="3"/>
  <c r="C30" i="3"/>
  <c r="B30" i="3" s="1"/>
  <c r="N29" i="3"/>
  <c r="D29" i="3"/>
  <c r="C29" i="3"/>
  <c r="B29" i="3"/>
  <c r="N28" i="3"/>
  <c r="D28" i="3"/>
  <c r="C28" i="3"/>
  <c r="B28" i="3"/>
  <c r="C27" i="3"/>
  <c r="B27" i="3" s="1"/>
  <c r="N26" i="3"/>
  <c r="D26" i="3"/>
  <c r="C26" i="3"/>
  <c r="B26" i="3"/>
  <c r="N25" i="3"/>
  <c r="D25" i="3"/>
  <c r="C25" i="3"/>
  <c r="B25" i="3"/>
  <c r="C24" i="3"/>
  <c r="B24" i="3" s="1"/>
  <c r="N23" i="3"/>
  <c r="D23" i="3"/>
  <c r="C23" i="3"/>
  <c r="B23" i="3"/>
  <c r="N22" i="3"/>
  <c r="D22" i="3"/>
  <c r="C22" i="3"/>
  <c r="B22" i="3"/>
  <c r="C21" i="3"/>
  <c r="B21" i="3" s="1"/>
  <c r="N20" i="3"/>
  <c r="D20" i="3"/>
  <c r="C20" i="3"/>
  <c r="B20" i="3"/>
  <c r="N19" i="3"/>
  <c r="D19" i="3"/>
  <c r="C19" i="3"/>
  <c r="B19" i="3"/>
  <c r="C18" i="3"/>
  <c r="B18" i="3" s="1"/>
  <c r="N17" i="3"/>
  <c r="D17" i="3"/>
  <c r="C17" i="3"/>
  <c r="B17" i="3"/>
  <c r="N16" i="3"/>
  <c r="D16" i="3"/>
  <c r="C16" i="3"/>
  <c r="B16" i="3"/>
  <c r="C15" i="3"/>
  <c r="B15" i="3" s="1"/>
  <c r="N14" i="3"/>
  <c r="D14" i="3"/>
  <c r="C14" i="3"/>
  <c r="B14" i="3"/>
  <c r="N13" i="3"/>
  <c r="D13" i="3"/>
  <c r="C13" i="3"/>
  <c r="B13" i="3"/>
  <c r="C12" i="3"/>
  <c r="B12" i="3" s="1"/>
  <c r="N11" i="3"/>
  <c r="D11" i="3"/>
  <c r="C11" i="3"/>
  <c r="B11" i="3"/>
  <c r="N10" i="3"/>
  <c r="D10" i="3"/>
  <c r="C10" i="3"/>
  <c r="B10" i="3"/>
  <c r="C9" i="3"/>
  <c r="B9" i="3" s="1"/>
  <c r="N8" i="3"/>
  <c r="D8" i="3"/>
  <c r="C8" i="3"/>
  <c r="B8" i="3"/>
  <c r="N7" i="3"/>
  <c r="D7" i="3"/>
  <c r="C7" i="3"/>
  <c r="B7" i="3"/>
  <c r="C6" i="3"/>
  <c r="B6" i="3" s="1"/>
  <c r="C8" i="2"/>
  <c r="C88" i="5" s="1"/>
  <c r="B88" i="5" l="1"/>
  <c r="D88" i="5"/>
  <c r="D26" i="5"/>
  <c r="B26" i="5"/>
  <c r="D15" i="3"/>
  <c r="D27" i="3"/>
  <c r="D48" i="3"/>
  <c r="B90" i="3"/>
  <c r="N90" i="3"/>
  <c r="D97" i="3"/>
  <c r="B108" i="3"/>
  <c r="N108" i="3"/>
  <c r="D115" i="3"/>
  <c r="D151" i="3"/>
  <c r="N26" i="5"/>
  <c r="B70" i="5"/>
  <c r="D70" i="5"/>
  <c r="N9" i="3"/>
  <c r="N42" i="3"/>
  <c r="D155" i="3"/>
  <c r="N155" i="3"/>
  <c r="D169" i="3"/>
  <c r="B169" i="3"/>
  <c r="C71" i="5"/>
  <c r="N71" i="5" s="1"/>
  <c r="C106" i="5"/>
  <c r="C160" i="5"/>
  <c r="D9" i="3"/>
  <c r="D73" i="3"/>
  <c r="B126" i="3"/>
  <c r="N126" i="3"/>
  <c r="D173" i="3"/>
  <c r="N173" i="3"/>
  <c r="D181" i="3"/>
  <c r="N18" i="3"/>
  <c r="N36" i="3"/>
  <c r="D90" i="3"/>
  <c r="N97" i="3"/>
  <c r="D108" i="3"/>
  <c r="N115" i="3"/>
  <c r="D126" i="3"/>
  <c r="N133" i="3"/>
  <c r="N70" i="3"/>
  <c r="D148" i="3"/>
  <c r="D156" i="3"/>
  <c r="B156" i="3"/>
  <c r="N169" i="3"/>
  <c r="N178" i="3"/>
  <c r="D178" i="3"/>
  <c r="D177" i="3"/>
  <c r="B177" i="3"/>
  <c r="D8" i="5"/>
  <c r="B8" i="5"/>
  <c r="D6" i="3"/>
  <c r="D12" i="3"/>
  <c r="D18" i="3"/>
  <c r="D21" i="3"/>
  <c r="D24" i="3"/>
  <c r="D30" i="3"/>
  <c r="D33" i="3"/>
  <c r="D36" i="3"/>
  <c r="D39" i="3"/>
  <c r="D42" i="3"/>
  <c r="D45" i="3"/>
  <c r="D51" i="3"/>
  <c r="D54" i="3"/>
  <c r="D57" i="3"/>
  <c r="D60" i="3"/>
  <c r="D133" i="3"/>
  <c r="B144" i="3"/>
  <c r="N144" i="3"/>
  <c r="D168" i="3"/>
  <c r="N177" i="3"/>
  <c r="N6" i="3"/>
  <c r="N12" i="3"/>
  <c r="N15" i="3"/>
  <c r="N21" i="3"/>
  <c r="N24" i="3"/>
  <c r="N27" i="3"/>
  <c r="N30" i="3"/>
  <c r="N33" i="3"/>
  <c r="N39" i="3"/>
  <c r="N45" i="3"/>
  <c r="N48" i="3"/>
  <c r="N51" i="3"/>
  <c r="N54" i="3"/>
  <c r="N57" i="3"/>
  <c r="N60" i="3"/>
  <c r="N73" i="3"/>
  <c r="N151" i="3"/>
  <c r="D67" i="3"/>
  <c r="B87" i="3"/>
  <c r="N87" i="3"/>
  <c r="D94" i="3"/>
  <c r="B105" i="3"/>
  <c r="N105" i="3"/>
  <c r="D112" i="3"/>
  <c r="B123" i="3"/>
  <c r="N123" i="3"/>
  <c r="D130" i="3"/>
  <c r="B141" i="3"/>
  <c r="N141" i="3"/>
  <c r="D87" i="3"/>
  <c r="D105" i="3"/>
  <c r="D123" i="3"/>
  <c r="D141" i="3"/>
  <c r="N156" i="3"/>
  <c r="N160" i="3"/>
  <c r="C115" i="5"/>
  <c r="N115" i="5" s="1"/>
  <c r="C169" i="5"/>
  <c r="B16" i="5"/>
  <c r="D16" i="5"/>
  <c r="B34" i="5"/>
  <c r="D34" i="5"/>
  <c r="B52" i="5"/>
  <c r="D52" i="5"/>
  <c r="B79" i="5"/>
  <c r="D79" i="5"/>
  <c r="B151" i="5"/>
  <c r="D151" i="5"/>
  <c r="N165" i="3"/>
  <c r="D165" i="3"/>
  <c r="C17" i="5"/>
  <c r="C35" i="5"/>
  <c r="C53" i="5"/>
  <c r="C80" i="5"/>
  <c r="C124" i="5"/>
  <c r="C179" i="5"/>
  <c r="B138" i="3"/>
  <c r="N138" i="3"/>
  <c r="D161" i="3"/>
  <c r="B161" i="3"/>
  <c r="D78" i="3"/>
  <c r="N81" i="3"/>
  <c r="D88" i="3"/>
  <c r="B99" i="3"/>
  <c r="N99" i="3"/>
  <c r="D106" i="3"/>
  <c r="B117" i="3"/>
  <c r="N117" i="3"/>
  <c r="D124" i="3"/>
  <c r="B135" i="3"/>
  <c r="N135" i="3"/>
  <c r="B139" i="3"/>
  <c r="D142" i="3"/>
  <c r="D184" i="3"/>
  <c r="N17" i="5"/>
  <c r="N35" i="5"/>
  <c r="B97" i="5"/>
  <c r="D97" i="5"/>
  <c r="B102" i="3"/>
  <c r="N102" i="3"/>
  <c r="D75" i="3"/>
  <c r="N78" i="3"/>
  <c r="B82" i="3"/>
  <c r="D99" i="3"/>
  <c r="D117" i="3"/>
  <c r="D135" i="3"/>
  <c r="D171" i="3"/>
  <c r="N184" i="3"/>
  <c r="C133" i="5"/>
  <c r="D81" i="3"/>
  <c r="B150" i="3"/>
  <c r="N150" i="3"/>
  <c r="N171" i="3"/>
  <c r="C61" i="5"/>
  <c r="D44" i="5"/>
  <c r="B44" i="5"/>
  <c r="B120" i="3"/>
  <c r="N120" i="3"/>
  <c r="B96" i="3"/>
  <c r="N96" i="3"/>
  <c r="B6" i="6"/>
  <c r="B12" i="7" s="1"/>
  <c r="B42" i="8" s="1"/>
  <c r="B11" i="6"/>
  <c r="B17" i="7" s="1"/>
  <c r="B47" i="8" s="1"/>
  <c r="N187" i="5"/>
  <c r="N175" i="5"/>
  <c r="N172" i="5"/>
  <c r="N169" i="5"/>
  <c r="N160" i="5"/>
  <c r="N157" i="5"/>
  <c r="N154" i="5"/>
  <c r="N151" i="5"/>
  <c r="N148" i="5"/>
  <c r="N139" i="5"/>
  <c r="N136" i="5"/>
  <c r="N133" i="5"/>
  <c r="N124" i="5"/>
  <c r="N121" i="5"/>
  <c r="N106" i="5"/>
  <c r="N103" i="5"/>
  <c r="N97" i="5"/>
  <c r="N91" i="5"/>
  <c r="N88" i="5"/>
  <c r="N82" i="5"/>
  <c r="N79" i="5"/>
  <c r="N70" i="5"/>
  <c r="N64" i="5"/>
  <c r="N61" i="5"/>
  <c r="N52" i="5"/>
  <c r="N49" i="5"/>
  <c r="N46" i="5"/>
  <c r="N40" i="5"/>
  <c r="N34" i="5"/>
  <c r="N31" i="5"/>
  <c r="N28" i="5"/>
  <c r="N25" i="5"/>
  <c r="N16" i="5"/>
  <c r="N13" i="5"/>
  <c r="B9" i="6"/>
  <c r="B15" i="7" s="1"/>
  <c r="B45" i="8" s="1"/>
  <c r="C187" i="5"/>
  <c r="B7" i="6"/>
  <c r="B13" i="7" s="1"/>
  <c r="B43" i="8" s="1"/>
  <c r="N180" i="5"/>
  <c r="N165" i="5"/>
  <c r="N159" i="5"/>
  <c r="N144" i="5"/>
  <c r="N129" i="5"/>
  <c r="N123" i="5"/>
  <c r="N108" i="5"/>
  <c r="N93" i="5"/>
  <c r="N87" i="5"/>
  <c r="N72" i="5"/>
  <c r="N57" i="5"/>
  <c r="N51" i="5"/>
  <c r="N36" i="5"/>
  <c r="N21" i="5"/>
  <c r="N15" i="5"/>
  <c r="C186" i="5"/>
  <c r="N186" i="5" s="1"/>
  <c r="C183" i="5"/>
  <c r="C180" i="5"/>
  <c r="C177" i="5"/>
  <c r="C174" i="5"/>
  <c r="C171" i="5"/>
  <c r="C168" i="5"/>
  <c r="C165" i="5"/>
  <c r="C162" i="5"/>
  <c r="C159" i="5"/>
  <c r="C156" i="5"/>
  <c r="C153" i="5"/>
  <c r="C150" i="5"/>
  <c r="N150" i="5" s="1"/>
  <c r="C147" i="5"/>
  <c r="C144" i="5"/>
  <c r="C141" i="5"/>
  <c r="C138" i="5"/>
  <c r="C135" i="5"/>
  <c r="C132" i="5"/>
  <c r="C129" i="5"/>
  <c r="C126" i="5"/>
  <c r="C123" i="5"/>
  <c r="C120" i="5"/>
  <c r="C117" i="5"/>
  <c r="C114" i="5"/>
  <c r="N114" i="5" s="1"/>
  <c r="C111" i="5"/>
  <c r="C108" i="5"/>
  <c r="C105" i="5"/>
  <c r="C102" i="5"/>
  <c r="C99" i="5"/>
  <c r="C96" i="5"/>
  <c r="C93" i="5"/>
  <c r="C90" i="5"/>
  <c r="C87" i="5"/>
  <c r="C84" i="5"/>
  <c r="C81" i="5"/>
  <c r="C78" i="5"/>
  <c r="N78" i="5" s="1"/>
  <c r="C75" i="5"/>
  <c r="C72" i="5"/>
  <c r="C69" i="5"/>
  <c r="C66" i="5"/>
  <c r="C63" i="5"/>
  <c r="C60" i="5"/>
  <c r="C57" i="5"/>
  <c r="C54" i="5"/>
  <c r="C51" i="5"/>
  <c r="C48" i="5"/>
  <c r="C45" i="5"/>
  <c r="C42" i="5"/>
  <c r="N42" i="5" s="1"/>
  <c r="C39" i="5"/>
  <c r="C36" i="5"/>
  <c r="C33" i="5"/>
  <c r="C30" i="5"/>
  <c r="C27" i="5"/>
  <c r="C24" i="5"/>
  <c r="C21" i="5"/>
  <c r="C18" i="5"/>
  <c r="C15" i="5"/>
  <c r="C12" i="5"/>
  <c r="C9" i="5"/>
  <c r="C6" i="5"/>
  <c r="N6" i="5" s="1"/>
  <c r="C184" i="5"/>
  <c r="C164" i="5"/>
  <c r="C155" i="5"/>
  <c r="C146" i="5"/>
  <c r="C137" i="5"/>
  <c r="C128" i="5"/>
  <c r="C119" i="5"/>
  <c r="C110" i="5"/>
  <c r="C101" i="5"/>
  <c r="C92" i="5"/>
  <c r="C83" i="5"/>
  <c r="C74" i="5"/>
  <c r="C65" i="5"/>
  <c r="C56" i="5"/>
  <c r="C47" i="5"/>
  <c r="C38" i="5"/>
  <c r="C29" i="5"/>
  <c r="C20" i="5"/>
  <c r="C11" i="5"/>
  <c r="C173" i="5"/>
  <c r="C178" i="5"/>
  <c r="N167" i="5"/>
  <c r="N158" i="5"/>
  <c r="N149" i="5"/>
  <c r="N113" i="5"/>
  <c r="N68" i="5"/>
  <c r="N59" i="5"/>
  <c r="N50" i="5"/>
  <c r="N41" i="5"/>
  <c r="B10" i="6"/>
  <c r="B16" i="7" s="1"/>
  <c r="B46" i="8" s="1"/>
  <c r="C163" i="5"/>
  <c r="C154" i="5"/>
  <c r="C145" i="5"/>
  <c r="N145" i="5" s="1"/>
  <c r="C136" i="5"/>
  <c r="C127" i="5"/>
  <c r="C118" i="5"/>
  <c r="C109" i="5"/>
  <c r="C100" i="5"/>
  <c r="C91" i="5"/>
  <c r="C82" i="5"/>
  <c r="C73" i="5"/>
  <c r="N73" i="5" s="1"/>
  <c r="C64" i="5"/>
  <c r="C55" i="5"/>
  <c r="C46" i="5"/>
  <c r="C37" i="5"/>
  <c r="N37" i="5" s="1"/>
  <c r="C28" i="5"/>
  <c r="C19" i="5"/>
  <c r="C10" i="5"/>
  <c r="C182" i="5"/>
  <c r="N176" i="5"/>
  <c r="C172" i="5"/>
  <c r="C167" i="5"/>
  <c r="C158" i="5"/>
  <c r="C149" i="5"/>
  <c r="C140" i="5"/>
  <c r="C131" i="5"/>
  <c r="C122" i="5"/>
  <c r="C113" i="5"/>
  <c r="C104" i="5"/>
  <c r="C95" i="5"/>
  <c r="C86" i="5"/>
  <c r="C77" i="5"/>
  <c r="C68" i="5"/>
  <c r="C59" i="5"/>
  <c r="C50" i="5"/>
  <c r="C41" i="5"/>
  <c r="C32" i="5"/>
  <c r="C23" i="5"/>
  <c r="C14" i="5"/>
  <c r="C176" i="5"/>
  <c r="N161" i="5"/>
  <c r="N152" i="5"/>
  <c r="N143" i="5"/>
  <c r="N116" i="5"/>
  <c r="N107" i="5"/>
  <c r="N98" i="5"/>
  <c r="N80" i="5"/>
  <c r="N62" i="5"/>
  <c r="N53" i="5"/>
  <c r="N185" i="5"/>
  <c r="C181" i="5"/>
  <c r="C166" i="5"/>
  <c r="C157" i="5"/>
  <c r="C148" i="5"/>
  <c r="C139" i="5"/>
  <c r="C130" i="5"/>
  <c r="C121" i="5"/>
  <c r="C112" i="5"/>
  <c r="C103" i="5"/>
  <c r="C94" i="5"/>
  <c r="C85" i="5"/>
  <c r="C76" i="5"/>
  <c r="C67" i="5"/>
  <c r="N67" i="5" s="1"/>
  <c r="C58" i="5"/>
  <c r="C49" i="5"/>
  <c r="C40" i="5"/>
  <c r="C31" i="5"/>
  <c r="C22" i="5"/>
  <c r="C13" i="5"/>
  <c r="C170" i="5"/>
  <c r="N170" i="5" s="1"/>
  <c r="C161" i="5"/>
  <c r="C152" i="5"/>
  <c r="C143" i="5"/>
  <c r="C134" i="5"/>
  <c r="C125" i="5"/>
  <c r="C116" i="5"/>
  <c r="C107" i="5"/>
  <c r="C98" i="5"/>
  <c r="C185" i="5"/>
  <c r="C175" i="5"/>
  <c r="B8" i="6"/>
  <c r="B14" i="7" s="1"/>
  <c r="B44" i="8" s="1"/>
  <c r="N164" i="5"/>
  <c r="N155" i="5"/>
  <c r="N146" i="5"/>
  <c r="N137" i="5"/>
  <c r="N128" i="5"/>
  <c r="N101" i="5"/>
  <c r="N92" i="5"/>
  <c r="N56" i="5"/>
  <c r="N47" i="5"/>
  <c r="N38" i="5"/>
  <c r="N29" i="5"/>
  <c r="N20" i="5"/>
  <c r="D150" i="3"/>
  <c r="D167" i="3"/>
  <c r="N167" i="3"/>
  <c r="B167" i="3"/>
  <c r="D176" i="3"/>
  <c r="B176" i="3"/>
  <c r="C62" i="5"/>
  <c r="C89" i="5"/>
  <c r="C142" i="5"/>
  <c r="N75" i="3"/>
  <c r="B114" i="3"/>
  <c r="N114" i="3"/>
  <c r="B132" i="3"/>
  <c r="N132" i="3"/>
  <c r="D69" i="3"/>
  <c r="N72" i="3"/>
  <c r="D82" i="3"/>
  <c r="D96" i="3"/>
  <c r="D132" i="3"/>
  <c r="D66" i="3"/>
  <c r="N69" i="3"/>
  <c r="B93" i="3"/>
  <c r="N93" i="3"/>
  <c r="B111" i="3"/>
  <c r="N111" i="3"/>
  <c r="B129" i="3"/>
  <c r="N129" i="3"/>
  <c r="B147" i="3"/>
  <c r="N147" i="3"/>
  <c r="D154" i="3"/>
  <c r="N158" i="3"/>
  <c r="B163" i="3"/>
  <c r="N163" i="3"/>
  <c r="B168" i="3"/>
  <c r="N176" i="3"/>
  <c r="B181" i="3"/>
  <c r="B186" i="3"/>
  <c r="N186" i="3"/>
  <c r="C7" i="5"/>
  <c r="N7" i="5" s="1"/>
  <c r="C25" i="5"/>
  <c r="C43" i="5"/>
  <c r="B159" i="3"/>
  <c r="B172" i="3"/>
  <c r="B185" i="3"/>
  <c r="B182" i="3"/>
  <c r="N182" i="3"/>
  <c r="B142" i="5" l="1"/>
  <c r="D142" i="5"/>
  <c r="D143" i="5"/>
  <c r="B143" i="5"/>
  <c r="D85" i="5"/>
  <c r="B85" i="5"/>
  <c r="D95" i="5"/>
  <c r="B95" i="5"/>
  <c r="D10" i="5"/>
  <c r="B10" i="5"/>
  <c r="D118" i="5"/>
  <c r="B118" i="5"/>
  <c r="B83" i="5"/>
  <c r="D83" i="5"/>
  <c r="D9" i="5"/>
  <c r="B9" i="5"/>
  <c r="D45" i="5"/>
  <c r="B45" i="5"/>
  <c r="D81" i="5"/>
  <c r="B81" i="5"/>
  <c r="D117" i="5"/>
  <c r="B117" i="5"/>
  <c r="D153" i="5"/>
  <c r="B153" i="5"/>
  <c r="D89" i="5"/>
  <c r="B89" i="5"/>
  <c r="D152" i="5"/>
  <c r="B152" i="5"/>
  <c r="D94" i="5"/>
  <c r="B94" i="5"/>
  <c r="D104" i="5"/>
  <c r="B104" i="5"/>
  <c r="D19" i="5"/>
  <c r="B19" i="5"/>
  <c r="D127" i="5"/>
  <c r="B127" i="5"/>
  <c r="B178" i="5"/>
  <c r="D178" i="5"/>
  <c r="B92" i="5"/>
  <c r="D92" i="5"/>
  <c r="D12" i="5"/>
  <c r="B12" i="5"/>
  <c r="D48" i="5"/>
  <c r="B48" i="5"/>
  <c r="D84" i="5"/>
  <c r="B84" i="5"/>
  <c r="D120" i="5"/>
  <c r="B120" i="5"/>
  <c r="D156" i="5"/>
  <c r="B156" i="5"/>
  <c r="N9" i="5"/>
  <c r="E11" i="6" s="1"/>
  <c r="E17" i="7" s="1"/>
  <c r="N45" i="5"/>
  <c r="N81" i="5"/>
  <c r="N117" i="5"/>
  <c r="N153" i="5"/>
  <c r="N142" i="5"/>
  <c r="N178" i="5"/>
  <c r="B61" i="5"/>
  <c r="D61" i="5"/>
  <c r="D125" i="5"/>
  <c r="B125" i="5"/>
  <c r="D67" i="5"/>
  <c r="B67" i="5"/>
  <c r="B181" i="5"/>
  <c r="D181" i="5"/>
  <c r="D77" i="5"/>
  <c r="B77" i="5"/>
  <c r="D100" i="5"/>
  <c r="B100" i="5"/>
  <c r="B65" i="5"/>
  <c r="D65" i="5"/>
  <c r="B184" i="5"/>
  <c r="D184" i="5"/>
  <c r="D39" i="5"/>
  <c r="B39" i="5"/>
  <c r="D75" i="5"/>
  <c r="B75" i="5"/>
  <c r="D111" i="5"/>
  <c r="B111" i="5"/>
  <c r="D147" i="5"/>
  <c r="B147" i="5"/>
  <c r="D183" i="5"/>
  <c r="B183" i="5"/>
  <c r="D134" i="5"/>
  <c r="B134" i="5"/>
  <c r="D76" i="5"/>
  <c r="B76" i="5"/>
  <c r="D86" i="5"/>
  <c r="B86" i="5"/>
  <c r="D182" i="5"/>
  <c r="B182" i="5"/>
  <c r="D109" i="5"/>
  <c r="B109" i="5"/>
  <c r="B74" i="5"/>
  <c r="D74" i="5"/>
  <c r="D6" i="5"/>
  <c r="B6" i="5"/>
  <c r="D42" i="5"/>
  <c r="B42" i="5"/>
  <c r="D78" i="5"/>
  <c r="B78" i="5"/>
  <c r="D114" i="5"/>
  <c r="B114" i="5"/>
  <c r="D150" i="5"/>
  <c r="B150" i="5"/>
  <c r="D186" i="5"/>
  <c r="B186" i="5"/>
  <c r="N39" i="5"/>
  <c r="N75" i="5"/>
  <c r="N111" i="5"/>
  <c r="N147" i="5"/>
  <c r="N183" i="5"/>
  <c r="N100" i="5"/>
  <c r="D62" i="5"/>
  <c r="B62" i="5"/>
  <c r="D161" i="5"/>
  <c r="B161" i="5"/>
  <c r="D103" i="5"/>
  <c r="B103" i="5"/>
  <c r="D176" i="5"/>
  <c r="B176" i="5"/>
  <c r="D113" i="5"/>
  <c r="B113" i="5"/>
  <c r="D28" i="5"/>
  <c r="B28" i="5"/>
  <c r="D136" i="5"/>
  <c r="B136" i="5"/>
  <c r="N77" i="5"/>
  <c r="N182" i="5"/>
  <c r="B101" i="5"/>
  <c r="D101" i="5"/>
  <c r="D15" i="5"/>
  <c r="B15" i="5"/>
  <c r="D51" i="5"/>
  <c r="B51" i="5"/>
  <c r="D87" i="5"/>
  <c r="B87" i="5"/>
  <c r="D123" i="5"/>
  <c r="B123" i="5"/>
  <c r="D159" i="5"/>
  <c r="B159" i="5"/>
  <c r="N12" i="5"/>
  <c r="N48" i="5"/>
  <c r="N84" i="5"/>
  <c r="N120" i="5"/>
  <c r="N156" i="5"/>
  <c r="B187" i="5"/>
  <c r="D187" i="5"/>
  <c r="N109" i="5"/>
  <c r="N181" i="5"/>
  <c r="N65" i="5"/>
  <c r="D170" i="5"/>
  <c r="B170" i="5"/>
  <c r="D112" i="5"/>
  <c r="B112" i="5"/>
  <c r="D14" i="5"/>
  <c r="B14" i="5"/>
  <c r="D122" i="5"/>
  <c r="B122" i="5"/>
  <c r="D37" i="5"/>
  <c r="B37" i="5"/>
  <c r="D145" i="5"/>
  <c r="B145" i="5"/>
  <c r="N86" i="5"/>
  <c r="D173" i="5"/>
  <c r="B173" i="5"/>
  <c r="N173" i="5"/>
  <c r="B110" i="5"/>
  <c r="D110" i="5"/>
  <c r="D18" i="5"/>
  <c r="B18" i="5"/>
  <c r="D54" i="5"/>
  <c r="B54" i="5"/>
  <c r="D90" i="5"/>
  <c r="B90" i="5"/>
  <c r="D126" i="5"/>
  <c r="B126" i="5"/>
  <c r="D162" i="5"/>
  <c r="B162" i="5"/>
  <c r="N76" i="5"/>
  <c r="N112" i="5"/>
  <c r="N184" i="5"/>
  <c r="B179" i="5"/>
  <c r="D179" i="5"/>
  <c r="B43" i="5"/>
  <c r="D43" i="5"/>
  <c r="N74" i="5"/>
  <c r="B175" i="5"/>
  <c r="D175" i="5"/>
  <c r="D13" i="5"/>
  <c r="B13" i="5"/>
  <c r="D121" i="5"/>
  <c r="B121" i="5"/>
  <c r="N89" i="5"/>
  <c r="D23" i="5"/>
  <c r="B23" i="5"/>
  <c r="D131" i="5"/>
  <c r="B131" i="5"/>
  <c r="D46" i="5"/>
  <c r="B46" i="5"/>
  <c r="D154" i="5"/>
  <c r="B154" i="5"/>
  <c r="N95" i="5"/>
  <c r="B11" i="5"/>
  <c r="D11" i="5"/>
  <c r="B119" i="5"/>
  <c r="D119" i="5"/>
  <c r="D21" i="5"/>
  <c r="B21" i="5"/>
  <c r="D57" i="5"/>
  <c r="B57" i="5"/>
  <c r="D93" i="5"/>
  <c r="B93" i="5"/>
  <c r="D129" i="5"/>
  <c r="B129" i="5"/>
  <c r="D165" i="5"/>
  <c r="B165" i="5"/>
  <c r="N18" i="5"/>
  <c r="N54" i="5"/>
  <c r="N90" i="5"/>
  <c r="N126" i="5"/>
  <c r="N162" i="5"/>
  <c r="N43" i="5"/>
  <c r="B124" i="5"/>
  <c r="D124" i="5"/>
  <c r="B115" i="5"/>
  <c r="D115" i="5"/>
  <c r="B25" i="5"/>
  <c r="D25" i="5"/>
  <c r="N83" i="5"/>
  <c r="N179" i="5"/>
  <c r="D22" i="5"/>
  <c r="B22" i="5"/>
  <c r="D130" i="5"/>
  <c r="B130" i="5"/>
  <c r="D32" i="5"/>
  <c r="B32" i="5"/>
  <c r="D140" i="5"/>
  <c r="B140" i="5"/>
  <c r="D55" i="5"/>
  <c r="B55" i="5"/>
  <c r="D163" i="5"/>
  <c r="B163" i="5"/>
  <c r="N104" i="5"/>
  <c r="B20" i="5"/>
  <c r="D20" i="5"/>
  <c r="B128" i="5"/>
  <c r="D128" i="5"/>
  <c r="D24" i="5"/>
  <c r="B24" i="5"/>
  <c r="D60" i="5"/>
  <c r="B60" i="5"/>
  <c r="D96" i="5"/>
  <c r="B96" i="5"/>
  <c r="D132" i="5"/>
  <c r="B132" i="5"/>
  <c r="D168" i="5"/>
  <c r="B168" i="5"/>
  <c r="N10" i="5"/>
  <c r="F9" i="6" s="1"/>
  <c r="N118" i="5"/>
  <c r="D80" i="5"/>
  <c r="B80" i="5"/>
  <c r="B7" i="5"/>
  <c r="D7" i="5"/>
  <c r="D185" i="5"/>
  <c r="B185" i="5"/>
  <c r="D31" i="5"/>
  <c r="B31" i="5"/>
  <c r="D139" i="5"/>
  <c r="B139" i="5"/>
  <c r="D41" i="5"/>
  <c r="B41" i="5"/>
  <c r="D149" i="5"/>
  <c r="B149" i="5"/>
  <c r="D64" i="5"/>
  <c r="B64" i="5"/>
  <c r="B29" i="5"/>
  <c r="D29" i="5"/>
  <c r="B137" i="5"/>
  <c r="D137" i="5"/>
  <c r="D27" i="5"/>
  <c r="B27" i="5"/>
  <c r="D63" i="5"/>
  <c r="B63" i="5"/>
  <c r="D99" i="5"/>
  <c r="B99" i="5"/>
  <c r="D135" i="5"/>
  <c r="B135" i="5"/>
  <c r="D171" i="5"/>
  <c r="B171" i="5"/>
  <c r="N24" i="5"/>
  <c r="N60" i="5"/>
  <c r="N96" i="5"/>
  <c r="N132" i="5"/>
  <c r="N168" i="5"/>
  <c r="N85" i="5"/>
  <c r="B133" i="5"/>
  <c r="D133" i="5"/>
  <c r="D53" i="5"/>
  <c r="B53" i="5"/>
  <c r="D98" i="5"/>
  <c r="B98" i="5"/>
  <c r="D40" i="5"/>
  <c r="B40" i="5"/>
  <c r="D148" i="5"/>
  <c r="B148" i="5"/>
  <c r="D50" i="5"/>
  <c r="B50" i="5"/>
  <c r="D158" i="5"/>
  <c r="B158" i="5"/>
  <c r="D73" i="5"/>
  <c r="B73" i="5"/>
  <c r="N14" i="5"/>
  <c r="N122" i="5"/>
  <c r="B38" i="5"/>
  <c r="D38" i="5"/>
  <c r="B146" i="5"/>
  <c r="D146" i="5"/>
  <c r="D30" i="5"/>
  <c r="B30" i="5"/>
  <c r="D66" i="5"/>
  <c r="B66" i="5"/>
  <c r="D102" i="5"/>
  <c r="B102" i="5"/>
  <c r="D138" i="5"/>
  <c r="B138" i="5"/>
  <c r="D174" i="5"/>
  <c r="B174" i="5"/>
  <c r="N27" i="5"/>
  <c r="N63" i="5"/>
  <c r="N99" i="5"/>
  <c r="N135" i="5"/>
  <c r="N171" i="5"/>
  <c r="D35" i="5"/>
  <c r="B35" i="5"/>
  <c r="N110" i="5"/>
  <c r="D107" i="5"/>
  <c r="B107" i="5"/>
  <c r="D49" i="5"/>
  <c r="B49" i="5"/>
  <c r="D157" i="5"/>
  <c r="B157" i="5"/>
  <c r="N125" i="5"/>
  <c r="D59" i="5"/>
  <c r="B59" i="5"/>
  <c r="D167" i="5"/>
  <c r="B167" i="5"/>
  <c r="D82" i="5"/>
  <c r="B82" i="5"/>
  <c r="N23" i="5"/>
  <c r="N131" i="5"/>
  <c r="B47" i="5"/>
  <c r="D47" i="5"/>
  <c r="B155" i="5"/>
  <c r="D155" i="5"/>
  <c r="D33" i="5"/>
  <c r="B33" i="5"/>
  <c r="D69" i="5"/>
  <c r="B69" i="5"/>
  <c r="D105" i="5"/>
  <c r="B105" i="5"/>
  <c r="D141" i="5"/>
  <c r="B141" i="5"/>
  <c r="D177" i="5"/>
  <c r="B177" i="5"/>
  <c r="N30" i="5"/>
  <c r="N66" i="5"/>
  <c r="N102" i="5"/>
  <c r="N138" i="5"/>
  <c r="N174" i="5"/>
  <c r="N19" i="5"/>
  <c r="N55" i="5"/>
  <c r="N127" i="5"/>
  <c r="N163" i="5"/>
  <c r="D17" i="5"/>
  <c r="B17" i="5"/>
  <c r="B160" i="5"/>
  <c r="D160" i="5"/>
  <c r="D71" i="5"/>
  <c r="B71" i="5"/>
  <c r="N11" i="5"/>
  <c r="N119" i="5"/>
  <c r="D116" i="5"/>
  <c r="B116" i="5"/>
  <c r="D58" i="5"/>
  <c r="B58" i="5"/>
  <c r="D166" i="5"/>
  <c r="B166" i="5"/>
  <c r="N134" i="5"/>
  <c r="D68" i="5"/>
  <c r="B68" i="5"/>
  <c r="B172" i="5"/>
  <c r="D172" i="5"/>
  <c r="D91" i="5"/>
  <c r="B91" i="5"/>
  <c r="N32" i="5"/>
  <c r="J7" i="6" s="1"/>
  <c r="F13" i="7" s="1"/>
  <c r="C43" i="8" s="1"/>
  <c r="N140" i="5"/>
  <c r="B56" i="5"/>
  <c r="D56" i="5"/>
  <c r="B164" i="5"/>
  <c r="D164" i="5"/>
  <c r="D36" i="5"/>
  <c r="B36" i="5"/>
  <c r="D72" i="5"/>
  <c r="B72" i="5"/>
  <c r="D108" i="5"/>
  <c r="B108" i="5"/>
  <c r="D144" i="5"/>
  <c r="B144" i="5"/>
  <c r="D180" i="5"/>
  <c r="B180" i="5"/>
  <c r="N33" i="5"/>
  <c r="N69" i="5"/>
  <c r="N105" i="5"/>
  <c r="N141" i="5"/>
  <c r="N177" i="5"/>
  <c r="N22" i="5"/>
  <c r="N58" i="5"/>
  <c r="N94" i="5"/>
  <c r="N130" i="5"/>
  <c r="N166" i="5"/>
  <c r="B169" i="5"/>
  <c r="D169" i="5"/>
  <c r="H11" i="4"/>
  <c r="G11" i="4"/>
  <c r="I9" i="4"/>
  <c r="F6" i="4"/>
  <c r="F11" i="4"/>
  <c r="H9" i="4"/>
  <c r="J7" i="4"/>
  <c r="F7" i="7" s="1"/>
  <c r="C37" i="8" s="1"/>
  <c r="E6" i="4"/>
  <c r="I10" i="4"/>
  <c r="I8" i="4"/>
  <c r="J6" i="4"/>
  <c r="H10" i="4"/>
  <c r="H8" i="4"/>
  <c r="I6" i="4"/>
  <c r="G10" i="4"/>
  <c r="G8" i="4"/>
  <c r="H6" i="4"/>
  <c r="F10" i="4"/>
  <c r="F8" i="4"/>
  <c r="G6" i="4"/>
  <c r="J11" i="4"/>
  <c r="F11" i="7" s="1"/>
  <c r="C41" i="8" s="1"/>
  <c r="G9" i="4"/>
  <c r="H7" i="4"/>
  <c r="E11" i="4"/>
  <c r="E11" i="7" s="1"/>
  <c r="E9" i="4"/>
  <c r="E9" i="7" s="1"/>
  <c r="F7" i="4"/>
  <c r="E8" i="4"/>
  <c r="E8" i="7" s="1"/>
  <c r="I7" i="4"/>
  <c r="J8" i="4"/>
  <c r="F8" i="7" s="1"/>
  <c r="C38" i="8" s="1"/>
  <c r="I11" i="4"/>
  <c r="G7" i="4"/>
  <c r="E7" i="4"/>
  <c r="E7" i="7" s="1"/>
  <c r="J10" i="4"/>
  <c r="F10" i="7" s="1"/>
  <c r="C40" i="8" s="1"/>
  <c r="E10" i="4"/>
  <c r="E10" i="7" s="1"/>
  <c r="J9" i="4"/>
  <c r="F9" i="7" s="1"/>
  <c r="C39" i="8" s="1"/>
  <c r="F9" i="4"/>
  <c r="B106" i="5"/>
  <c r="D106" i="5"/>
  <c r="G12" i="4" l="1"/>
  <c r="E6" i="7"/>
  <c r="E12" i="4"/>
  <c r="H11" i="6"/>
  <c r="H6" i="6"/>
  <c r="G10" i="6"/>
  <c r="I8" i="6"/>
  <c r="I11" i="6"/>
  <c r="F11" i="6"/>
  <c r="E7" i="6"/>
  <c r="E13" i="7" s="1"/>
  <c r="E8" i="6"/>
  <c r="E14" i="7" s="1"/>
  <c r="G7" i="6"/>
  <c r="J8" i="6"/>
  <c r="F14" i="7" s="1"/>
  <c r="C44" i="8" s="1"/>
  <c r="H12" i="4"/>
  <c r="F8" i="6"/>
  <c r="G11" i="6"/>
  <c r="H10" i="6"/>
  <c r="J10" i="6"/>
  <c r="F16" i="7" s="1"/>
  <c r="C46" i="8" s="1"/>
  <c r="F12" i="4"/>
  <c r="E9" i="6"/>
  <c r="E15" i="7" s="1"/>
  <c r="I6" i="6"/>
  <c r="F7" i="6"/>
  <c r="H9" i="6"/>
  <c r="G8" i="6"/>
  <c r="I10" i="6"/>
  <c r="I12" i="4"/>
  <c r="I9" i="6"/>
  <c r="E10" i="6"/>
  <c r="E16" i="7" s="1"/>
  <c r="H7" i="6"/>
  <c r="E6" i="6"/>
  <c r="J11" i="6"/>
  <c r="F17" i="7" s="1"/>
  <c r="C47" i="8" s="1"/>
  <c r="J9" i="6"/>
  <c r="F15" i="7" s="1"/>
  <c r="C45" i="8" s="1"/>
  <c r="J6" i="6"/>
  <c r="I7" i="6"/>
  <c r="F6" i="6"/>
  <c r="F12" i="6" s="1"/>
  <c r="H8" i="6"/>
  <c r="G9" i="6"/>
  <c r="J12" i="4"/>
  <c r="F6" i="7"/>
  <c r="G6" i="6"/>
  <c r="F10" i="6"/>
  <c r="J12" i="6" l="1"/>
  <c r="F12" i="7"/>
  <c r="C42" i="8" s="1"/>
  <c r="I12" i="6"/>
  <c r="E12" i="7"/>
  <c r="E12" i="6"/>
  <c r="H12" i="6"/>
  <c r="G12" i="6"/>
  <c r="C36" i="8"/>
  <c r="E18" i="7"/>
  <c r="F18" i="7" l="1"/>
</calcChain>
</file>

<file path=xl/sharedStrings.xml><?xml version="1.0" encoding="utf-8"?>
<sst xmlns="http://schemas.openxmlformats.org/spreadsheetml/2006/main" count="554" uniqueCount="133">
  <si>
    <t>OUTIL DE PLANIFICATION ÉDITORIALE</t>
  </si>
  <si>
    <t>COMMENT UTILISER CET OUTIL</t>
  </si>
  <si>
    <t>1. Onglet « Stratégie de Communication »</t>
  </si>
  <si>
    <t>Renseignez votre objectif de communication, le ton à adopter, la promesse que vous livrez au marché et les preuves qui la rendent crédible.</t>
  </si>
  <si>
    <t>2. Onglets « Plan Hebdomadaire S1 » et « Plan Hebdomadaire S2 »</t>
  </si>
  <si>
    <t>Construisez votre plan jour par jour (26 semaines de 7 jours par semestre, soit jusqu'à 7 actions par semaine) : support classique et/ou réseau social, activité de réseautage, et coût de chaque action. Le Semestre 2 démarre automatiquement à la fin du Semestre 1.</t>
  </si>
  <si>
    <t>3. Onglets « Plan Mensuel S1 » et « Plan Mensuel S2 »</t>
  </si>
  <si>
    <t>Vue consolidée automatique de vos actions et de vos coûts par mois, pour chaque semestre de 6 mois. Renseignez le thème et l'objectif prioritaire de chaque mois.</t>
  </si>
  <si>
    <t>4. Onglet « Plan Annuel »</t>
  </si>
  <si>
    <t>Vision consolidée des 12 mois (2 semestres), pour situer votre communication dans une perspective annuelle.</t>
  </si>
  <si>
    <t>5. Onglet « Tableau de Bord »</t>
  </si>
  <si>
    <t>Indicateurs clés sur l'année complète : volume d'actions, répartition par support, par statut, et budget investi.</t>
  </si>
  <si>
    <t>CODE COULEUR</t>
  </si>
  <si>
    <t>Texte bleu : cellule à compléter par vous</t>
  </si>
  <si>
    <t>Fond jaune pâle : zone de saisie clé</t>
  </si>
  <si>
    <t>Texte noir : calcul automatique, ne pas modifier</t>
  </si>
  <si>
    <t>Texte vert : lien automatique vers un autre onglet</t>
  </si>
  <si>
    <t>Aucune connexion internet ni logiciel additionnel requis : cet outil fonctionne entièrement dans Excel.</t>
  </si>
  <si>
    <t>STRATÉGIE DE COMMUNICATION</t>
  </si>
  <si>
    <t>INFORMATIONS GÉNÉRALES</t>
  </si>
  <si>
    <t>Nom de l'entreprise</t>
  </si>
  <si>
    <t>Date de début du plan (Semestre 1)</t>
  </si>
  <si>
    <t>Date de début du Semestre 2 (calculée)</t>
  </si>
  <si>
    <t>Ton de la communication</t>
  </si>
  <si>
    <t>ÉLÉMENTS DE LA STRATÉGIE</t>
  </si>
  <si>
    <t>Objectif de communication</t>
  </si>
  <si>
    <t>Ex. : Faire connaître notre outil de pilotage stratégique auprès des directions d'ONG en Afrique francophone d'ici 6 mois.</t>
  </si>
  <si>
    <t>Promesse à livrer dans la communication</t>
  </si>
  <si>
    <t>Ex. : Un plan stratégique qui se déploie enfin, suivi mois après mois, sans expertise technique ni connexion internet.</t>
  </si>
  <si>
    <t>Preuves à utiliser pour soutenir la promesse</t>
  </si>
  <si>
    <t>Ex. : Tableau de bord automatisé, témoignages clients, essai gratuit, adaptation secteur public/ONG.</t>
  </si>
  <si>
    <t>PLAN ÉDITORIAL — VUE HEBDOMADAIRE (Semestre 1 — mois 1 à 6)</t>
  </si>
  <si>
    <t>7 lignes par semaine (une par jour). Jusqu'à 7 actions par semaine : indiquez pour chacune le support, le réseau, l'activité de réseautage et le coût. Laissez une ligne vide si aucune action ce jour-là.</t>
  </si>
  <si>
    <t>La semaine 1, jour « Lundi » (ligne jaune) est un exemple à remplacer par votre propre contenu.</t>
  </si>
  <si>
    <t>Semaine</t>
  </si>
  <si>
    <t>Jour</t>
  </si>
  <si>
    <t>Date</t>
  </si>
  <si>
    <t>Mois</t>
  </si>
  <si>
    <t>Thème / Sujet du contenu</t>
  </si>
  <si>
    <t>Objectif de l'action</t>
  </si>
  <si>
    <t>Format de contenu</t>
  </si>
  <si>
    <t>Support classique</t>
  </si>
  <si>
    <t>Réseau social</t>
  </si>
  <si>
    <t>Activité de réseautage</t>
  </si>
  <si>
    <t>Coût de l'action ($)</t>
  </si>
  <si>
    <t>Responsable</t>
  </si>
  <si>
    <t>Statut</t>
  </si>
  <si>
    <t>N° Mois</t>
  </si>
  <si>
    <t>Lancement : pourquoi votre plan stratégique reste sur une étagère</t>
  </si>
  <si>
    <t>Sensibiliser les directions d'ONG au problème du suivi de plan</t>
  </si>
  <si>
    <t>Article de blog</t>
  </si>
  <si>
    <t>Infolettre (email)</t>
  </si>
  <si>
    <t>LinkedIn</t>
  </si>
  <si>
    <t>Networking en ligne</t>
  </si>
  <si>
    <t>Atalia Conseils</t>
  </si>
  <si>
    <t>À faire</t>
  </si>
  <si>
    <t>PLAN ÉDITORIAL — VUE MENSUELLE (Semestre 1)</t>
  </si>
  <si>
    <t>Thème et objectif prioritaire de chaque mois ; compteurs et coûts mis à jour automatiquement depuis le Plan Hebdomadaire correspondant.</t>
  </si>
  <si>
    <t>Mois n°</t>
  </si>
  <si>
    <t>Période</t>
  </si>
  <si>
    <t>Thème du mois</t>
  </si>
  <si>
    <t>Objectif prioritaire du mois</t>
  </si>
  <si>
    <t>Nb d'actions planifiées</t>
  </si>
  <si>
    <t>Nb supports classiques</t>
  </si>
  <si>
    <t>Nb réseaux sociaux</t>
  </si>
  <si>
    <t>Nb activités réseautage</t>
  </si>
  <si>
    <t>Nb publiées</t>
  </si>
  <si>
    <t>Coût total du mois ($)</t>
  </si>
  <si>
    <t>Lancement de la notoriété</t>
  </si>
  <si>
    <t>Faire connaître le problème du suivi de plan stratégique</t>
  </si>
  <si>
    <t>TOTAL SEMESTRE 1</t>
  </si>
  <si>
    <t>PLAN ÉDITORIAL — VUE HEBDOMADAIRE (Semestre 2 — mois 7 à 12)</t>
  </si>
  <si>
    <t>PLAN ÉDITORIAL — VUE MENSUELLE (Semestre 2)</t>
  </si>
  <si>
    <t>TOTAL SEMESTRE 2</t>
  </si>
  <si>
    <t>PLAN ÉDITORIAL — VISION ANNUELLE (12 MOIS)</t>
  </si>
  <si>
    <t>Consolidation automatique du Plan Mensuel Semestre 1 (mois 1-6) et du Plan Mensuel Semestre 2 (mois 7-12).</t>
  </si>
  <si>
    <t>Objectif prioritaire</t>
  </si>
  <si>
    <t>Coût du mois ($)</t>
  </si>
  <si>
    <t>TOTAL ANNÉE</t>
  </si>
  <si>
    <t>TABLEAU DE BORD DU PLAN ÉDITORIAL</t>
  </si>
  <si>
    <t>Indicateurs calculés automatiquement sur l'année complète (Semestre 1 + Semestre 2)</t>
  </si>
  <si>
    <t>Nombre total d'actions (année)</t>
  </si>
  <si>
    <t>Actions publiées</t>
  </si>
  <si>
    <t>Actions en cours</t>
  </si>
  <si>
    <t>Activités de réseautage prévues</t>
  </si>
  <si>
    <t>Budget total investi ($)</t>
  </si>
  <si>
    <t>RÉPARTITION PAR SUPPORT CLASSIQUE</t>
  </si>
  <si>
    <t>Site web / Blog</t>
  </si>
  <si>
    <t>Communiqué de presse</t>
  </si>
  <si>
    <t>Affichage / Flyers</t>
  </si>
  <si>
    <t>Radio</t>
  </si>
  <si>
    <t>Télévision</t>
  </si>
  <si>
    <t>Panneaux publicitaires</t>
  </si>
  <si>
    <t>Événement / Salon professionnel</t>
  </si>
  <si>
    <t>Relations de presse</t>
  </si>
  <si>
    <t>SMS marketing</t>
  </si>
  <si>
    <t>RÉPARTITION PAR RÉSEAU SOCIAL</t>
  </si>
  <si>
    <t>Facebook</t>
  </si>
  <si>
    <t>Instagram</t>
  </si>
  <si>
    <t>TikTok</t>
  </si>
  <si>
    <t>YouTube</t>
  </si>
  <si>
    <t>X (Twitter)</t>
  </si>
  <si>
    <t>WhatsApp Business</t>
  </si>
  <si>
    <t>Pinterest</t>
  </si>
  <si>
    <t>COÛT PAR MOIS</t>
  </si>
  <si>
    <t>Ton de communication</t>
  </si>
  <si>
    <t>Salon professionnel</t>
  </si>
  <si>
    <t>En cours</t>
  </si>
  <si>
    <t>Professionnel</t>
  </si>
  <si>
    <t>Petit-déjeuner d'affaires</t>
  </si>
  <si>
    <t>Vidéo</t>
  </si>
  <si>
    <t>Publié</t>
  </si>
  <si>
    <t>Amical / Proximité</t>
  </si>
  <si>
    <t>Conférence / Webinaire</t>
  </si>
  <si>
    <t>Publication / Post</t>
  </si>
  <si>
    <t>Reporté</t>
  </si>
  <si>
    <t>Inspirant</t>
  </si>
  <si>
    <t>Association professionnelle</t>
  </si>
  <si>
    <t>Infographie</t>
  </si>
  <si>
    <t>Éducatif</t>
  </si>
  <si>
    <t>Témoignage client</t>
  </si>
  <si>
    <t>Humoristique</t>
  </si>
  <si>
    <t>Rencontre partenaire</t>
  </si>
  <si>
    <t>Étude de cas</t>
  </si>
  <si>
    <t>Institutionnel</t>
  </si>
  <si>
    <t>5 à 7 réseautage</t>
  </si>
  <si>
    <t>Sondage</t>
  </si>
  <si>
    <t>Aucune</t>
  </si>
  <si>
    <t>Live / Webinaire</t>
  </si>
  <si>
    <t>Communiqué</t>
  </si>
  <si>
    <t>La fondation qui guide l'ensemble de votre plan éditorial</t>
  </si>
  <si>
    <t>choisir</t>
  </si>
  <si>
    <t>Copyright Atalia Conseils — Construisez votre stratégie de communication puis votre plan éditorial, semestre par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</si>
</sst>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&quot; $&quot;"/>
  </numFmts>
  <fonts count="21" x14ac:knownFonts="1">
    <font>
      <sz val="11"/>
      <color theme="1"/>
      <name val="Calibri"/>
      <family val="2"/>
      <charset val="1"/>
    </font>
    <font>
      <b/>
      <sz val="16"/>
      <color rgb="FF1F4E78"/>
      <name val="Arial"/>
      <charset val="1"/>
    </font>
    <font>
      <i/>
      <sz val="10"/>
      <color rgb="FF595959"/>
      <name val="Arial"/>
      <charset val="1"/>
    </font>
    <font>
      <sz val="10"/>
      <name val="Arial"/>
      <charset val="1"/>
    </font>
    <font>
      <b/>
      <sz val="12"/>
      <color rgb="FF1F4E78"/>
      <name val="Arial"/>
      <charset val="1"/>
    </font>
    <font>
      <b/>
      <sz val="10"/>
      <name val="Arial"/>
      <charset val="1"/>
    </font>
    <font>
      <sz val="10"/>
      <color rgb="FF0000FF"/>
      <name val="Arial"/>
      <charset val="1"/>
    </font>
    <font>
      <sz val="10"/>
      <color rgb="FF000000"/>
      <name val="Arial"/>
      <charset val="1"/>
    </font>
    <font>
      <sz val="10"/>
      <color rgb="FF008000"/>
      <name val="Arial"/>
      <charset val="1"/>
    </font>
    <font>
      <i/>
      <sz val="9"/>
      <color rgb="FF9C6500"/>
      <name val="Arial"/>
      <charset val="1"/>
    </font>
    <font>
      <b/>
      <sz val="10"/>
      <color rgb="FFFFFFFF"/>
      <name val="Arial"/>
      <charset val="1"/>
    </font>
    <font>
      <b/>
      <sz val="14"/>
      <color rgb="FF1F4E78"/>
      <name val="Arial"/>
      <charset val="1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6"/>
      <color rgb="FF1F4E78"/>
      <name val="Arial"/>
      <family val="2"/>
    </font>
    <font>
      <i/>
      <sz val="10"/>
      <color rgb="FF595959"/>
      <name val="Arial"/>
      <family val="2"/>
    </font>
    <font>
      <b/>
      <sz val="16"/>
      <color theme="0"/>
      <name val="Arial"/>
      <family val="2"/>
    </font>
    <font>
      <sz val="11"/>
      <color theme="0"/>
      <name val="Calibri"/>
      <family val="2"/>
      <charset val="1"/>
    </font>
    <font>
      <i/>
      <sz val="10"/>
      <color theme="0"/>
      <name val="Arial"/>
      <family val="2"/>
    </font>
    <font>
      <sz val="10"/>
      <color rgb="FF0000FF"/>
      <name val="Arial"/>
      <family val="2"/>
    </font>
    <font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D9E1F2"/>
        <bgColor rgb="FFD9D9D9"/>
      </patternFill>
    </fill>
    <fill>
      <patternFill patternType="solid">
        <fgColor rgb="FFEAF1FB"/>
        <bgColor rgb="FFF2F2F2"/>
      </patternFill>
    </fill>
    <fill>
      <patternFill patternType="solid">
        <fgColor rgb="FF1F4E78"/>
        <bgColor rgb="FF003366"/>
      </patternFill>
    </fill>
    <fill>
      <patternFill patternType="solid">
        <fgColor rgb="FFF2F2F2"/>
        <bgColor rgb="FFEAF1FB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rgb="FFD9D9D9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2" borderId="1" xfId="0" applyFont="1" applyFill="1" applyBorder="1"/>
    <xf numFmtId="164" fontId="6" fillId="2" borderId="1" xfId="0" applyNumberFormat="1" applyFont="1" applyFill="1" applyBorder="1"/>
    <xf numFmtId="164" fontId="7" fillId="4" borderId="1" xfId="0" applyNumberFormat="1" applyFont="1" applyFill="1" applyBorder="1"/>
    <xf numFmtId="0" fontId="6" fillId="2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0" xfId="0" applyFont="1" applyFill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7" fillId="6" borderId="1" xfId="0" applyFont="1" applyFill="1" applyBorder="1" applyAlignment="1">
      <alignment horizontal="left" vertical="top" wrapText="1"/>
    </xf>
    <xf numFmtId="164" fontId="7" fillId="6" borderId="1" xfId="0" applyNumberFormat="1" applyFont="1" applyFill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left" vertical="top" wrapText="1"/>
    </xf>
    <xf numFmtId="0" fontId="5" fillId="3" borderId="1" xfId="0" applyFont="1" applyFill="1" applyBorder="1"/>
    <xf numFmtId="165" fontId="5" fillId="3" borderId="1" xfId="0" applyNumberFormat="1" applyFont="1" applyFill="1" applyBorder="1"/>
    <xf numFmtId="0" fontId="8" fillId="0" borderId="1" xfId="0" applyFont="1" applyBorder="1" applyAlignment="1">
      <alignment horizontal="left" vertical="top" wrapText="1"/>
    </xf>
    <xf numFmtId="165" fontId="8" fillId="0" borderId="1" xfId="0" applyNumberFormat="1" applyFont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center" wrapText="1"/>
    </xf>
    <xf numFmtId="165" fontId="11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0" fillId="0" borderId="1" xfId="0" applyBorder="1"/>
    <xf numFmtId="165" fontId="7" fillId="0" borderId="1" xfId="0" applyNumberFormat="1" applyFont="1" applyBorder="1"/>
    <xf numFmtId="0" fontId="5" fillId="3" borderId="0" xfId="0" applyFont="1" applyFill="1"/>
    <xf numFmtId="0" fontId="3" fillId="0" borderId="0" xfId="0" applyFont="1"/>
    <xf numFmtId="0" fontId="5" fillId="0" borderId="1" xfId="0" applyFont="1" applyBorder="1" applyAlignment="1">
      <alignment horizontal="left" vertical="top" wrapText="1"/>
    </xf>
    <xf numFmtId="0" fontId="4" fillId="3" borderId="0" xfId="0" applyFont="1" applyFill="1"/>
    <xf numFmtId="0" fontId="9" fillId="0" borderId="0" xfId="0" applyFont="1"/>
    <xf numFmtId="0" fontId="4" fillId="3" borderId="1" xfId="0" applyFont="1" applyFill="1" applyBorder="1"/>
    <xf numFmtId="0" fontId="5" fillId="7" borderId="0" xfId="0" applyFont="1" applyFill="1" applyAlignment="1">
      <alignment horizontal="left" vertical="top" wrapText="1"/>
    </xf>
    <xf numFmtId="0" fontId="12" fillId="8" borderId="0" xfId="0" applyFont="1" applyFill="1" applyAlignment="1">
      <alignment horizontal="left" vertical="top" wrapText="1"/>
    </xf>
    <xf numFmtId="0" fontId="5" fillId="9" borderId="0" xfId="0" applyFont="1" applyFill="1" applyAlignment="1">
      <alignment horizontal="left" vertical="top" wrapText="1"/>
    </xf>
    <xf numFmtId="0" fontId="5" fillId="10" borderId="0" xfId="0" applyFont="1" applyFill="1" applyAlignment="1">
      <alignment horizontal="left" vertical="top" wrapText="1"/>
    </xf>
    <xf numFmtId="0" fontId="5" fillId="11" borderId="0" xfId="0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7" borderId="0" xfId="0" applyFont="1" applyFill="1"/>
    <xf numFmtId="0" fontId="16" fillId="12" borderId="0" xfId="0" applyFont="1" applyFill="1"/>
    <xf numFmtId="0" fontId="17" fillId="12" borderId="0" xfId="0" applyFont="1" applyFill="1"/>
    <xf numFmtId="0" fontId="18" fillId="12" borderId="0" xfId="0" applyFont="1" applyFill="1"/>
    <xf numFmtId="0" fontId="19" fillId="2" borderId="1" xfId="0" applyFont="1" applyFill="1" applyBorder="1" applyAlignment="1">
      <alignment horizontal="left" vertical="top" wrapText="1"/>
    </xf>
    <xf numFmtId="0" fontId="16" fillId="13" borderId="0" xfId="0" applyFont="1" applyFill="1"/>
    <xf numFmtId="0" fontId="17" fillId="13" borderId="0" xfId="0" applyFont="1" applyFill="1"/>
    <xf numFmtId="0" fontId="18" fillId="13" borderId="0" xfId="0" applyFont="1" applyFill="1"/>
    <xf numFmtId="165" fontId="12" fillId="14" borderId="1" xfId="0" applyNumberFormat="1" applyFont="1" applyFill="1" applyBorder="1" applyAlignment="1">
      <alignment horizontal="left" vertical="top" wrapText="1"/>
    </xf>
    <xf numFmtId="0" fontId="16" fillId="14" borderId="0" xfId="0" applyFont="1" applyFill="1"/>
    <xf numFmtId="0" fontId="17" fillId="14" borderId="0" xfId="0" applyFont="1" applyFill="1"/>
    <xf numFmtId="0" fontId="18" fillId="14" borderId="0" xfId="0" applyFont="1" applyFill="1"/>
    <xf numFmtId="0" fontId="16" fillId="8" borderId="0" xfId="0" applyFont="1" applyFill="1"/>
    <xf numFmtId="0" fontId="17" fillId="8" borderId="0" xfId="0" applyFont="1" applyFill="1"/>
    <xf numFmtId="0" fontId="18" fillId="8" borderId="0" xfId="0" applyFont="1" applyFill="1"/>
    <xf numFmtId="0" fontId="20" fillId="13" borderId="1" xfId="0" applyFont="1" applyFill="1" applyBorder="1" applyAlignment="1">
      <alignment horizontal="left" vertical="top" wrapText="1"/>
    </xf>
    <xf numFmtId="0" fontId="0" fillId="15" borderId="0" xfId="0" applyFill="1"/>
    <xf numFmtId="0" fontId="18" fillId="13" borderId="0" xfId="0" applyFont="1" applyFill="1"/>
    <xf numFmtId="0" fontId="12" fillId="13" borderId="1" xfId="0" applyFont="1" applyFill="1" applyBorder="1" applyAlignment="1">
      <alignment horizontal="left" vertical="top" wrapText="1"/>
    </xf>
    <xf numFmtId="0" fontId="16" fillId="16" borderId="0" xfId="0" applyFont="1" applyFill="1"/>
    <xf numFmtId="0" fontId="15" fillId="7" borderId="0" xfId="0" applyFont="1" applyFill="1"/>
    <xf numFmtId="0" fontId="2" fillId="7" borderId="0" xfId="0" applyFont="1" applyFill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4F81BD"/>
      <rgbColor rgb="FFB7B7B7"/>
      <rgbColor rgb="FF878787"/>
      <rgbColor rgb="FF93A9CE"/>
      <rgbColor rgb="FFAB4744"/>
      <rgbColor rgb="FFFFF2CC"/>
      <rgbColor rgb="FFEAF1FB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EB9C"/>
      <rgbColor rgb="FFD9E1F2"/>
      <rgbColor rgb="FFD09493"/>
      <rgbColor rgb="FFF9F9F9"/>
      <rgbColor rgb="FFFFC7CE"/>
      <rgbColor rgb="FF4672A8"/>
      <rgbColor rgb="FF33CCCC"/>
      <rgbColor rgb="FF99CC00"/>
      <rgbColor rgb="FFFFCC00"/>
      <rgbColor rgb="FFFF9900"/>
      <rgbColor rgb="FFFF6600"/>
      <rgbColor rgb="FF725990"/>
      <rgbColor rgb="FF8AA64F"/>
      <rgbColor rgb="FF003366"/>
      <rgbColor rgb="FF4299B0"/>
      <rgbColor rgb="FF006100"/>
      <rgbColor rgb="FF333300"/>
      <rgbColor rgb="FF993300"/>
      <rgbColor rgb="FFC0504D"/>
      <rgbColor rgb="FF1F4E78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fr-CA"/>
              <a:t>Actions par support classique (année)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6">
                    <a:shade val="51000"/>
                  </a:schemeClr>
                </a:gs>
                <a:gs pos="80000">
                  <a:schemeClr val="accent6">
                    <a:shade val="93000"/>
                  </a:schemeClr>
                </a:gs>
                <a:gs pos="100000">
                  <a:schemeClr val="accent6">
                    <a:shade val="94000"/>
                  </a:schemeClr>
                </a:gs>
              </a:gsLst>
              <a:lin ang="16200000" scaled="0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'Tableau de Bord'!$B$13:$B$22</c:f>
              <c:strCache>
                <c:ptCount val="10"/>
                <c:pt idx="0">
                  <c:v>Site web / Blog</c:v>
                </c:pt>
                <c:pt idx="1">
                  <c:v>Infolettre (email)</c:v>
                </c:pt>
                <c:pt idx="2">
                  <c:v>Communiqué de presse</c:v>
                </c:pt>
                <c:pt idx="3">
                  <c:v>Affichage / Flyers</c:v>
                </c:pt>
                <c:pt idx="4">
                  <c:v>Radio</c:v>
                </c:pt>
                <c:pt idx="5">
                  <c:v>Télévision</c:v>
                </c:pt>
                <c:pt idx="6">
                  <c:v>Panneaux publicitaires</c:v>
                </c:pt>
                <c:pt idx="7">
                  <c:v>Événement / Salon professionnel</c:v>
                </c:pt>
                <c:pt idx="8">
                  <c:v>Relations de presse</c:v>
                </c:pt>
                <c:pt idx="9">
                  <c:v>SMS marketing</c:v>
                </c:pt>
              </c:strCache>
            </c:strRef>
          </c:cat>
          <c:val>
            <c:numRef>
              <c:f>'Tableau de Bord'!$C$13:$C$22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2F-4F29-8776-CBD6CE9CF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3904608"/>
        <c:axId val="84483436"/>
      </c:barChart>
      <c:catAx>
        <c:axId val="4390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483436"/>
        <c:crosses val="autoZero"/>
        <c:auto val="1"/>
        <c:lblAlgn val="ctr"/>
        <c:lblOffset val="100"/>
        <c:noMultiLvlLbl val="0"/>
      </c:catAx>
      <c:valAx>
        <c:axId val="844834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Nb d'actions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904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Actions par réseau social (année)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577-4252-94C8-A524C39FA0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577-4252-94C8-A524C39FA0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577-4252-94C8-A524C39FA01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577-4252-94C8-A524C39FA01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577-4252-94C8-A524C39FA01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577-4252-94C8-A524C39FA01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577-4252-94C8-A524C39FA01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577-4252-94C8-A524C39FA017}"/>
              </c:ext>
            </c:extLst>
          </c:dPt>
          <c:dLbls>
            <c:dLbl>
              <c:idx val="0"/>
              <c:dLblPos val="ctr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77-4252-94C8-A524C39FA017}"/>
                </c:ext>
              </c:extLst>
            </c:dLbl>
            <c:dLbl>
              <c:idx val="1"/>
              <c:dLblPos val="ctr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7-4252-94C8-A524C39FA017}"/>
                </c:ext>
              </c:extLst>
            </c:dLbl>
            <c:dLbl>
              <c:idx val="2"/>
              <c:dLblPos val="ctr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7-4252-94C8-A524C39FA017}"/>
                </c:ext>
              </c:extLst>
            </c:dLbl>
            <c:dLbl>
              <c:idx val="3"/>
              <c:dLblPos val="ctr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7-4252-94C8-A524C39FA017}"/>
                </c:ext>
              </c:extLst>
            </c:dLbl>
            <c:dLbl>
              <c:idx val="4"/>
              <c:dLblPos val="ctr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7-4252-94C8-A524C39FA017}"/>
                </c:ext>
              </c:extLst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77-4252-94C8-A524C39FA017}"/>
                </c:ext>
              </c:extLst>
            </c:dLbl>
            <c:dLbl>
              <c:idx val="6"/>
              <c:dLblPos val="ctr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77-4252-94C8-A524C39FA017}"/>
                </c:ext>
              </c:extLst>
            </c:dLbl>
            <c:dLbl>
              <c:idx val="7"/>
              <c:dLblPos val="ctr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77-4252-94C8-A524C39FA01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1"/>
            <c:separator> </c:separator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'Tableau de Bord'!$B$25:$B$32</c:f>
              <c:strCache>
                <c:ptCount val="8"/>
                <c:pt idx="0">
                  <c:v>Facebook</c:v>
                </c:pt>
                <c:pt idx="1">
                  <c:v>Instagram</c:v>
                </c:pt>
                <c:pt idx="2">
                  <c:v>LinkedIn</c:v>
                </c:pt>
                <c:pt idx="3">
                  <c:v>TikTok</c:v>
                </c:pt>
                <c:pt idx="4">
                  <c:v>YouTube</c:v>
                </c:pt>
                <c:pt idx="5">
                  <c:v>X (Twitter)</c:v>
                </c:pt>
                <c:pt idx="6">
                  <c:v>WhatsApp Business</c:v>
                </c:pt>
                <c:pt idx="7">
                  <c:v>Pinterest</c:v>
                </c:pt>
              </c:strCache>
            </c:strRef>
          </c:cat>
          <c:val>
            <c:numRef>
              <c:f>'Tableau de Bord'!$C$25:$C$32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577-4252-94C8-A524C39FA01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CA" sz="1800" b="1" strike="noStrike" spc="-1">
                <a:solidFill>
                  <a:srgbClr val="000000"/>
                </a:solidFill>
                <a:latin typeface="Calibri"/>
              </a:rPr>
              <a:t>Budget de communication par mois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'Tableau de Bord'!$B$36:$B$47</c:f>
              <c:strCache>
                <c:ptCount val="12"/>
                <c:pt idx="0">
                  <c:v>août 2026</c:v>
                </c:pt>
                <c:pt idx="1">
                  <c:v>septembre 2026</c:v>
                </c:pt>
                <c:pt idx="2">
                  <c:v>octobre 2026</c:v>
                </c:pt>
                <c:pt idx="3">
                  <c:v>novembre 2026</c:v>
                </c:pt>
                <c:pt idx="4">
                  <c:v>décembre 2026</c:v>
                </c:pt>
                <c:pt idx="5">
                  <c:v>janvier 2027</c:v>
                </c:pt>
                <c:pt idx="6">
                  <c:v>février 2027</c:v>
                </c:pt>
                <c:pt idx="7">
                  <c:v>mars 2027</c:v>
                </c:pt>
                <c:pt idx="8">
                  <c:v>avril 2027</c:v>
                </c:pt>
                <c:pt idx="9">
                  <c:v>mai 2027</c:v>
                </c:pt>
                <c:pt idx="10">
                  <c:v>juin 2027</c:v>
                </c:pt>
                <c:pt idx="11">
                  <c:v>juillet 2027</c:v>
                </c:pt>
              </c:strCache>
            </c:strRef>
          </c:cat>
          <c:val>
            <c:numRef>
              <c:f>'Tableau de Bord'!$C$36:$C$47</c:f>
              <c:numCache>
                <c:formatCode>#\ ##0" $"</c:formatCode>
                <c:ptCount val="12"/>
                <c:pt idx="0">
                  <c:v>150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9-455E-B144-F9E23589B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49420"/>
        <c:axId val="82520937"/>
      </c:barChart>
      <c:catAx>
        <c:axId val="452494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82520937"/>
        <c:crosses val="autoZero"/>
        <c:auto val="1"/>
        <c:lblAlgn val="ctr"/>
        <c:lblOffset val="100"/>
        <c:noMultiLvlLbl val="0"/>
      </c:catAx>
      <c:valAx>
        <c:axId val="8252093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CA" sz="1000" b="1" strike="noStrike" spc="-1">
                    <a:solidFill>
                      <a:srgbClr val="000000"/>
                    </a:solidFill>
                    <a:latin typeface="Calibri"/>
                  </a:rPr>
                  <a:t>Coût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\ ##0&quot; $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4524942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</xdr:colOff>
      <xdr:row>3</xdr:row>
      <xdr:rowOff>0</xdr:rowOff>
    </xdr:from>
    <xdr:to>
      <xdr:col>14</xdr:col>
      <xdr:colOff>388620</xdr:colOff>
      <xdr:row>17</xdr:row>
      <xdr:rowOff>82620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19</xdr:row>
      <xdr:rowOff>60960</xdr:rowOff>
    </xdr:from>
    <xdr:to>
      <xdr:col>14</xdr:col>
      <xdr:colOff>419100</xdr:colOff>
      <xdr:row>35</xdr:row>
      <xdr:rowOff>153000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0</xdr:colOff>
      <xdr:row>37</xdr:row>
      <xdr:rowOff>130680</xdr:rowOff>
    </xdr:from>
    <xdr:to>
      <xdr:col>14</xdr:col>
      <xdr:colOff>411480</xdr:colOff>
      <xdr:row>56</xdr:row>
      <xdr:rowOff>160020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B24"/>
  <sheetViews>
    <sheetView showGridLines="0" topLeftCell="A8" zoomScaleNormal="100" zoomScaleSheetLayoutView="102" workbookViewId="0">
      <selection activeCell="D12" sqref="D12"/>
    </sheetView>
  </sheetViews>
  <sheetFormatPr baseColWidth="10" defaultColWidth="8.6640625" defaultRowHeight="14.4" x14ac:dyDescent="0.3"/>
  <cols>
    <col min="1" max="1" width="3" customWidth="1"/>
    <col min="2" max="2" width="100" customWidth="1"/>
  </cols>
  <sheetData>
    <row r="1" spans="2:2" ht="42.6" customHeight="1" x14ac:dyDescent="0.3"/>
    <row r="2" spans="2:2" ht="21" x14ac:dyDescent="0.4">
      <c r="B2" s="48" t="s">
        <v>0</v>
      </c>
    </row>
    <row r="3" spans="2:2" x14ac:dyDescent="0.3">
      <c r="B3" s="60" t="s">
        <v>132</v>
      </c>
    </row>
    <row r="5" spans="2:2" ht="18" customHeight="1" x14ac:dyDescent="0.3">
      <c r="B5" s="3"/>
    </row>
    <row r="6" spans="2:2" ht="18" customHeight="1" x14ac:dyDescent="0.3">
      <c r="B6" s="4" t="s">
        <v>1</v>
      </c>
    </row>
    <row r="7" spans="2:2" ht="18" customHeight="1" x14ac:dyDescent="0.3">
      <c r="B7" s="37" t="s">
        <v>2</v>
      </c>
    </row>
    <row r="8" spans="2:2" ht="30" customHeight="1" x14ac:dyDescent="0.3">
      <c r="B8" s="3" t="s">
        <v>3</v>
      </c>
    </row>
    <row r="9" spans="2:2" ht="18" customHeight="1" x14ac:dyDescent="0.3">
      <c r="B9" s="38" t="s">
        <v>4</v>
      </c>
    </row>
    <row r="10" spans="2:2" ht="30" customHeight="1" x14ac:dyDescent="0.3">
      <c r="B10" s="3" t="s">
        <v>5</v>
      </c>
    </row>
    <row r="11" spans="2:2" ht="18" customHeight="1" x14ac:dyDescent="0.3">
      <c r="B11" s="39" t="s">
        <v>6</v>
      </c>
    </row>
    <row r="12" spans="2:2" ht="30" customHeight="1" x14ac:dyDescent="0.3">
      <c r="B12" s="3" t="s">
        <v>7</v>
      </c>
    </row>
    <row r="13" spans="2:2" ht="18" customHeight="1" x14ac:dyDescent="0.3">
      <c r="B13" s="40" t="s">
        <v>8</v>
      </c>
    </row>
    <row r="14" spans="2:2" ht="30" customHeight="1" x14ac:dyDescent="0.3">
      <c r="B14" s="3" t="s">
        <v>9</v>
      </c>
    </row>
    <row r="15" spans="2:2" ht="18" customHeight="1" x14ac:dyDescent="0.3">
      <c r="B15" s="41" t="s">
        <v>10</v>
      </c>
    </row>
    <row r="16" spans="2:2" ht="30" customHeight="1" x14ac:dyDescent="0.3">
      <c r="B16" s="3" t="s">
        <v>11</v>
      </c>
    </row>
    <row r="17" spans="2:2" ht="18" customHeight="1" x14ac:dyDescent="0.3">
      <c r="B17" s="3"/>
    </row>
    <row r="18" spans="2:2" ht="18" customHeight="1" x14ac:dyDescent="0.3">
      <c r="B18" s="4" t="s">
        <v>12</v>
      </c>
    </row>
    <row r="19" spans="2:2" ht="18" customHeight="1" x14ac:dyDescent="0.3">
      <c r="B19" s="5" t="s">
        <v>13</v>
      </c>
    </row>
    <row r="20" spans="2:2" ht="18" customHeight="1" x14ac:dyDescent="0.3">
      <c r="B20" s="6" t="s">
        <v>14</v>
      </c>
    </row>
    <row r="21" spans="2:2" ht="18" customHeight="1" x14ac:dyDescent="0.3">
      <c r="B21" s="7" t="s">
        <v>15</v>
      </c>
    </row>
    <row r="22" spans="2:2" ht="18" customHeight="1" x14ac:dyDescent="0.3">
      <c r="B22" s="8" t="s">
        <v>16</v>
      </c>
    </row>
    <row r="23" spans="2:2" ht="18" customHeight="1" x14ac:dyDescent="0.3">
      <c r="B23" s="3"/>
    </row>
    <row r="24" spans="2:2" ht="30" customHeight="1" x14ac:dyDescent="0.3">
      <c r="B24" s="42" t="s">
        <v>17</v>
      </c>
    </row>
  </sheetData>
  <sheetProtection algorithmName="SHA-512" hashValue="exWxrFiRJj+lz9TJ4CBaUcndYmAFnk/hsbixUz4htOyzMUFI6mekVOMcxScluULqCmVU1t3koTvOInrfB1k3jA==" saltValue="5gwivi7K3E3PgAk8eLa0/Q==" spinCount="100000" sheet="1" objects="1" scenarios="1"/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2:D14"/>
  <sheetViews>
    <sheetView showGridLines="0" zoomScaleNormal="100" workbookViewId="0">
      <selection activeCell="G7" sqref="G7"/>
    </sheetView>
  </sheetViews>
  <sheetFormatPr baseColWidth="10" defaultColWidth="8.6640625" defaultRowHeight="14.4" x14ac:dyDescent="0.3"/>
  <cols>
    <col min="1" max="1" width="3" customWidth="1"/>
    <col min="2" max="2" width="39" customWidth="1"/>
    <col min="3" max="3" width="62" customWidth="1"/>
  </cols>
  <sheetData>
    <row r="2" spans="2:4" ht="21" x14ac:dyDescent="0.4">
      <c r="B2" s="43" t="s">
        <v>18</v>
      </c>
      <c r="C2" s="43"/>
    </row>
    <row r="3" spans="2:4" x14ac:dyDescent="0.3">
      <c r="B3" s="63" t="s">
        <v>130</v>
      </c>
      <c r="C3" s="64"/>
    </row>
    <row r="5" spans="2:4" ht="21" x14ac:dyDescent="0.4">
      <c r="B5" s="62" t="s">
        <v>19</v>
      </c>
      <c r="C5" s="62"/>
    </row>
    <row r="6" spans="2:4" ht="19.5" customHeight="1" x14ac:dyDescent="0.3">
      <c r="B6" s="61" t="s">
        <v>20</v>
      </c>
      <c r="C6" s="9"/>
    </row>
    <row r="7" spans="2:4" ht="19.5" customHeight="1" x14ac:dyDescent="0.3">
      <c r="B7" s="61" t="s">
        <v>21</v>
      </c>
      <c r="C7" s="10">
        <v>46237</v>
      </c>
    </row>
    <row r="8" spans="2:4" ht="30.6" customHeight="1" x14ac:dyDescent="0.3">
      <c r="B8" s="61" t="s">
        <v>22</v>
      </c>
      <c r="C8" s="11">
        <f>$C$7+26*7</f>
        <v>46419</v>
      </c>
    </row>
    <row r="9" spans="2:4" ht="19.5" customHeight="1" x14ac:dyDescent="0.3">
      <c r="B9" s="61" t="s">
        <v>23</v>
      </c>
      <c r="C9" s="9"/>
      <c r="D9" t="s">
        <v>131</v>
      </c>
    </row>
    <row r="11" spans="2:4" ht="21" x14ac:dyDescent="0.4">
      <c r="B11" s="62" t="s">
        <v>24</v>
      </c>
      <c r="C11" s="62"/>
    </row>
    <row r="12" spans="2:4" ht="45.75" customHeight="1" x14ac:dyDescent="0.3">
      <c r="B12" s="61" t="s">
        <v>25</v>
      </c>
      <c r="C12" s="12" t="s">
        <v>26</v>
      </c>
    </row>
    <row r="13" spans="2:4" ht="45.75" customHeight="1" x14ac:dyDescent="0.3">
      <c r="B13" s="61" t="s">
        <v>27</v>
      </c>
      <c r="C13" s="12" t="s">
        <v>28</v>
      </c>
    </row>
    <row r="14" spans="2:4" ht="45.75" customHeight="1" x14ac:dyDescent="0.3">
      <c r="B14" s="61" t="s">
        <v>29</v>
      </c>
      <c r="C14" s="12" t="s">
        <v>30</v>
      </c>
    </row>
  </sheetData>
  <sheetProtection algorithmName="SHA-512" hashValue="QEe2Ji5KlpV9smlqSb6wSgbsBlXM4BVqxMW/h+/f3BPp+vhZgphGeGB6L0IFFSRj//eyzpiOkqNCAMX2ulDPQA==" saltValue="tjfOjBur6LYocY76C3XQpQ==" spinCount="100000" sheet="1" objects="1" scenarios="1"/>
  <protectedRanges>
    <protectedRange sqref="C6:C9" name="Plage2"/>
    <protectedRange sqref="C12:C14" name="Plage1"/>
  </protectedRanges>
  <mergeCells count="4">
    <mergeCell ref="B2:C2"/>
    <mergeCell ref="B3:C3"/>
    <mergeCell ref="B5:C5"/>
    <mergeCell ref="B11:C11"/>
  </mergeCell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0000000}">
          <x14:formula1>
            <xm:f>Listes!$F$2:$F$7</xm:f>
          </x14:formula1>
          <x14:formula2>
            <xm:f>0</xm:f>
          </x14:formula2>
          <xm:sqref>C9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N187"/>
  <sheetViews>
    <sheetView showGridLines="0" zoomScale="89" zoomScaleNormal="89" workbookViewId="0">
      <pane ySplit="5" topLeftCell="A6" activePane="bottomLeft" state="frozen"/>
      <selection pane="bottomLeft" activeCell="E12" sqref="E12"/>
    </sheetView>
  </sheetViews>
  <sheetFormatPr baseColWidth="10" defaultColWidth="8.6640625" defaultRowHeight="30" customHeight="1" x14ac:dyDescent="0.3"/>
  <cols>
    <col min="1" max="1" width="9" customWidth="1"/>
    <col min="2" max="2" width="16.109375" customWidth="1"/>
    <col min="3" max="3" width="13" customWidth="1"/>
    <col min="4" max="4" width="14.6640625" customWidth="1"/>
    <col min="5" max="5" width="41.109375" customWidth="1"/>
    <col min="6" max="6" width="40" customWidth="1"/>
    <col min="7" max="7" width="16" customWidth="1"/>
    <col min="8" max="8" width="18" customWidth="1"/>
    <col min="9" max="9" width="15" customWidth="1"/>
    <col min="10" max="10" width="20" customWidth="1"/>
    <col min="11" max="11" width="14" customWidth="1"/>
    <col min="12" max="12" width="16" customWidth="1"/>
    <col min="13" max="13" width="12" customWidth="1"/>
    <col min="14" max="14" width="13" hidden="1" customWidth="1"/>
  </cols>
  <sheetData>
    <row r="1" spans="1:14" ht="6.6" customHeight="1" x14ac:dyDescent="0.3"/>
    <row r="2" spans="1:14" ht="30" customHeight="1" x14ac:dyDescent="0.4">
      <c r="A2" s="48" t="s">
        <v>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4" ht="16.8" customHeight="1" x14ac:dyDescent="0.3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4" ht="30" customHeight="1" x14ac:dyDescent="0.3">
      <c r="A4" s="35" t="s">
        <v>33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4" ht="30" customHeight="1" x14ac:dyDescent="0.3">
      <c r="A5" s="13" t="s">
        <v>34</v>
      </c>
      <c r="B5" s="13" t="s">
        <v>35</v>
      </c>
      <c r="C5" s="13" t="s">
        <v>36</v>
      </c>
      <c r="D5" s="13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13" t="s">
        <v>43</v>
      </c>
      <c r="K5" s="13" t="s">
        <v>44</v>
      </c>
      <c r="L5" s="13" t="s">
        <v>45</v>
      </c>
      <c r="M5" s="13" t="s">
        <v>46</v>
      </c>
      <c r="N5" s="14" t="s">
        <v>47</v>
      </c>
    </row>
    <row r="6" spans="1:14" ht="30" customHeight="1" x14ac:dyDescent="0.3">
      <c r="A6" s="33">
        <v>1</v>
      </c>
      <c r="B6" s="15" t="str">
        <f t="shared" ref="B6:B37" si="0">CHOOSE(WEEKDAY(C6,2),"Lundi","Mardi","Mercredi","Jeudi","Vendredi","Samedi","Dimanche")</f>
        <v>Lundi</v>
      </c>
      <c r="C6" s="16">
        <f>'Stratégie de Communication'!$C$7</f>
        <v>46237</v>
      </c>
      <c r="D6" s="15" t="str">
        <f t="shared" ref="D6:D37" si="1">CHOOSE(MONTH(C6),"janvier","février","mars","avril","mai","juin","juillet","août","septembre","octobre","novembre","décembre")&amp;" "&amp;YEAR(C6)</f>
        <v>août 2026</v>
      </c>
      <c r="E6" s="12" t="s">
        <v>48</v>
      </c>
      <c r="F6" s="12" t="s">
        <v>49</v>
      </c>
      <c r="G6" s="12" t="s">
        <v>50</v>
      </c>
      <c r="H6" s="12" t="s">
        <v>51</v>
      </c>
      <c r="I6" s="12" t="s">
        <v>52</v>
      </c>
      <c r="J6" s="12" t="s">
        <v>53</v>
      </c>
      <c r="K6" s="17">
        <v>150</v>
      </c>
      <c r="L6" s="12" t="s">
        <v>54</v>
      </c>
      <c r="M6" s="12" t="s">
        <v>55</v>
      </c>
      <c r="N6" s="18">
        <f>DATEDIF('Stratégie de Communication'!$C$7,C6,"m")+1</f>
        <v>1</v>
      </c>
    </row>
    <row r="7" spans="1:14" ht="30" customHeight="1" x14ac:dyDescent="0.3">
      <c r="A7" s="33"/>
      <c r="B7" s="15" t="str">
        <f t="shared" si="0"/>
        <v>Mardi</v>
      </c>
      <c r="C7" s="16">
        <f>'Stratégie de Communication'!$C$7+1</f>
        <v>46238</v>
      </c>
      <c r="D7" s="15" t="str">
        <f t="shared" si="1"/>
        <v>août 2026</v>
      </c>
      <c r="E7" s="12"/>
      <c r="F7" s="12"/>
      <c r="G7" s="12"/>
      <c r="H7" s="12"/>
      <c r="I7" s="12"/>
      <c r="J7" s="12"/>
      <c r="K7" s="17"/>
      <c r="L7" s="12"/>
      <c r="M7" s="12" t="s">
        <v>55</v>
      </c>
      <c r="N7" s="18">
        <f>DATEDIF('Stratégie de Communication'!$C$7,C7,"m")+1</f>
        <v>1</v>
      </c>
    </row>
    <row r="8" spans="1:14" ht="30" customHeight="1" x14ac:dyDescent="0.3">
      <c r="A8" s="33"/>
      <c r="B8" s="15" t="str">
        <f t="shared" si="0"/>
        <v>Mercredi</v>
      </c>
      <c r="C8" s="16">
        <f>'Stratégie de Communication'!$C$7+2</f>
        <v>46239</v>
      </c>
      <c r="D8" s="15" t="str">
        <f t="shared" si="1"/>
        <v>août 2026</v>
      </c>
      <c r="E8" s="12"/>
      <c r="F8" s="12"/>
      <c r="G8" s="12"/>
      <c r="H8" s="12"/>
      <c r="I8" s="12"/>
      <c r="J8" s="12"/>
      <c r="K8" s="17"/>
      <c r="L8" s="12"/>
      <c r="M8" s="12" t="s">
        <v>55</v>
      </c>
      <c r="N8" s="18">
        <f>DATEDIF('Stratégie de Communication'!$C$7,C8,"m")+1</f>
        <v>1</v>
      </c>
    </row>
    <row r="9" spans="1:14" ht="30" customHeight="1" x14ac:dyDescent="0.3">
      <c r="A9" s="33"/>
      <c r="B9" s="15" t="str">
        <f t="shared" si="0"/>
        <v>Jeudi</v>
      </c>
      <c r="C9" s="16">
        <f>'Stratégie de Communication'!$C$7+3</f>
        <v>46240</v>
      </c>
      <c r="D9" s="15" t="str">
        <f t="shared" si="1"/>
        <v>août 2026</v>
      </c>
      <c r="E9" s="12"/>
      <c r="F9" s="12"/>
      <c r="G9" s="12"/>
      <c r="H9" s="12"/>
      <c r="I9" s="12"/>
      <c r="J9" s="12"/>
      <c r="K9" s="17"/>
      <c r="L9" s="12"/>
      <c r="M9" s="12" t="s">
        <v>55</v>
      </c>
      <c r="N9" s="18">
        <f>DATEDIF('Stratégie de Communication'!$C$7,C9,"m")+1</f>
        <v>1</v>
      </c>
    </row>
    <row r="10" spans="1:14" ht="30" customHeight="1" x14ac:dyDescent="0.3">
      <c r="A10" s="33"/>
      <c r="B10" s="15" t="str">
        <f t="shared" si="0"/>
        <v>Vendredi</v>
      </c>
      <c r="C10" s="16">
        <f>'Stratégie de Communication'!$C$7+4</f>
        <v>46241</v>
      </c>
      <c r="D10" s="15" t="str">
        <f t="shared" si="1"/>
        <v>août 2026</v>
      </c>
      <c r="E10" s="12"/>
      <c r="F10" s="12"/>
      <c r="G10" s="12"/>
      <c r="H10" s="12"/>
      <c r="I10" s="12"/>
      <c r="J10" s="12"/>
      <c r="K10" s="17"/>
      <c r="L10" s="12"/>
      <c r="M10" s="12" t="s">
        <v>55</v>
      </c>
      <c r="N10" s="18">
        <f>DATEDIF('Stratégie de Communication'!$C$7,C10,"m")+1</f>
        <v>1</v>
      </c>
    </row>
    <row r="11" spans="1:14" ht="30" customHeight="1" x14ac:dyDescent="0.3">
      <c r="A11" s="33"/>
      <c r="B11" s="15" t="str">
        <f t="shared" si="0"/>
        <v>Samedi</v>
      </c>
      <c r="C11" s="16">
        <f>'Stratégie de Communication'!$C$7+5</f>
        <v>46242</v>
      </c>
      <c r="D11" s="15" t="str">
        <f t="shared" si="1"/>
        <v>août 2026</v>
      </c>
      <c r="E11" s="12"/>
      <c r="F11" s="12"/>
      <c r="G11" s="12"/>
      <c r="H11" s="12"/>
      <c r="I11" s="12"/>
      <c r="J11" s="12"/>
      <c r="K11" s="17"/>
      <c r="L11" s="12"/>
      <c r="M11" s="12" t="s">
        <v>55</v>
      </c>
      <c r="N11" s="18">
        <f>DATEDIF('Stratégie de Communication'!$C$7,C11,"m")+1</f>
        <v>1</v>
      </c>
    </row>
    <row r="12" spans="1:14" ht="30" customHeight="1" x14ac:dyDescent="0.3">
      <c r="A12" s="33"/>
      <c r="B12" s="15" t="str">
        <f t="shared" si="0"/>
        <v>Dimanche</v>
      </c>
      <c r="C12" s="16">
        <f>'Stratégie de Communication'!$C$7+6</f>
        <v>46243</v>
      </c>
      <c r="D12" s="15" t="str">
        <f t="shared" si="1"/>
        <v>août 2026</v>
      </c>
      <c r="E12" s="12"/>
      <c r="F12" s="12"/>
      <c r="G12" s="12"/>
      <c r="H12" s="12"/>
      <c r="I12" s="12"/>
      <c r="J12" s="12"/>
      <c r="K12" s="17"/>
      <c r="L12" s="12"/>
      <c r="M12" s="12" t="s">
        <v>55</v>
      </c>
      <c r="N12" s="18">
        <f>DATEDIF('Stratégie de Communication'!$C$7,C12,"m")+1</f>
        <v>1</v>
      </c>
    </row>
    <row r="13" spans="1:14" ht="30" customHeight="1" x14ac:dyDescent="0.3">
      <c r="A13" s="33">
        <v>2</v>
      </c>
      <c r="B13" s="19" t="str">
        <f t="shared" si="0"/>
        <v>Lundi</v>
      </c>
      <c r="C13" s="20">
        <f>'Stratégie de Communication'!$C$7+7</f>
        <v>46244</v>
      </c>
      <c r="D13" s="19" t="str">
        <f t="shared" si="1"/>
        <v>août 2026</v>
      </c>
      <c r="E13" s="12"/>
      <c r="F13" s="12"/>
      <c r="G13" s="12"/>
      <c r="H13" s="12"/>
      <c r="I13" s="12"/>
      <c r="J13" s="12"/>
      <c r="K13" s="17"/>
      <c r="L13" s="12"/>
      <c r="M13" s="12" t="s">
        <v>55</v>
      </c>
      <c r="N13" s="18">
        <f>DATEDIF('Stratégie de Communication'!$C$7,C13,"m")+1</f>
        <v>1</v>
      </c>
    </row>
    <row r="14" spans="1:14" ht="30" customHeight="1" x14ac:dyDescent="0.3">
      <c r="A14" s="33"/>
      <c r="B14" s="19" t="str">
        <f t="shared" si="0"/>
        <v>Mardi</v>
      </c>
      <c r="C14" s="20">
        <f>'Stratégie de Communication'!$C$7+8</f>
        <v>46245</v>
      </c>
      <c r="D14" s="19" t="str">
        <f t="shared" si="1"/>
        <v>août 2026</v>
      </c>
      <c r="E14" s="12"/>
      <c r="F14" s="12"/>
      <c r="G14" s="12"/>
      <c r="H14" s="12"/>
      <c r="I14" s="12"/>
      <c r="J14" s="12"/>
      <c r="K14" s="17"/>
      <c r="L14" s="12"/>
      <c r="M14" s="12" t="s">
        <v>55</v>
      </c>
      <c r="N14" s="18">
        <f>DATEDIF('Stratégie de Communication'!$C$7,C14,"m")+1</f>
        <v>1</v>
      </c>
    </row>
    <row r="15" spans="1:14" ht="30" customHeight="1" x14ac:dyDescent="0.3">
      <c r="A15" s="33"/>
      <c r="B15" s="19" t="str">
        <f t="shared" si="0"/>
        <v>Mercredi</v>
      </c>
      <c r="C15" s="20">
        <f>'Stratégie de Communication'!$C$7+9</f>
        <v>46246</v>
      </c>
      <c r="D15" s="19" t="str">
        <f t="shared" si="1"/>
        <v>août 2026</v>
      </c>
      <c r="E15" s="12"/>
      <c r="F15" s="12"/>
      <c r="G15" s="12"/>
      <c r="H15" s="12"/>
      <c r="I15" s="12"/>
      <c r="J15" s="12"/>
      <c r="K15" s="17"/>
      <c r="L15" s="12"/>
      <c r="M15" s="12" t="s">
        <v>55</v>
      </c>
      <c r="N15" s="18">
        <f>DATEDIF('Stratégie de Communication'!$C$7,C15,"m")+1</f>
        <v>1</v>
      </c>
    </row>
    <row r="16" spans="1:14" ht="30" customHeight="1" x14ac:dyDescent="0.3">
      <c r="A16" s="33"/>
      <c r="B16" s="19" t="str">
        <f t="shared" si="0"/>
        <v>Jeudi</v>
      </c>
      <c r="C16" s="20">
        <f>'Stratégie de Communication'!$C$7+10</f>
        <v>46247</v>
      </c>
      <c r="D16" s="19" t="str">
        <f t="shared" si="1"/>
        <v>août 2026</v>
      </c>
      <c r="E16" s="12"/>
      <c r="F16" s="12"/>
      <c r="G16" s="12"/>
      <c r="H16" s="12"/>
      <c r="I16" s="12"/>
      <c r="J16" s="12"/>
      <c r="K16" s="17"/>
      <c r="L16" s="12"/>
      <c r="M16" s="12" t="s">
        <v>55</v>
      </c>
      <c r="N16" s="18">
        <f>DATEDIF('Stratégie de Communication'!$C$7,C16,"m")+1</f>
        <v>1</v>
      </c>
    </row>
    <row r="17" spans="1:14" ht="30" customHeight="1" x14ac:dyDescent="0.3">
      <c r="A17" s="33"/>
      <c r="B17" s="19" t="str">
        <f t="shared" si="0"/>
        <v>Vendredi</v>
      </c>
      <c r="C17" s="20">
        <f>'Stratégie de Communication'!$C$7+11</f>
        <v>46248</v>
      </c>
      <c r="D17" s="19" t="str">
        <f t="shared" si="1"/>
        <v>août 2026</v>
      </c>
      <c r="E17" s="12"/>
      <c r="F17" s="12"/>
      <c r="G17" s="12"/>
      <c r="H17" s="12"/>
      <c r="I17" s="12"/>
      <c r="J17" s="12"/>
      <c r="K17" s="17"/>
      <c r="L17" s="12"/>
      <c r="M17" s="12" t="s">
        <v>55</v>
      </c>
      <c r="N17" s="18">
        <f>DATEDIF('Stratégie de Communication'!$C$7,C17,"m")+1</f>
        <v>1</v>
      </c>
    </row>
    <row r="18" spans="1:14" ht="30" customHeight="1" x14ac:dyDescent="0.3">
      <c r="A18" s="33"/>
      <c r="B18" s="19" t="str">
        <f t="shared" si="0"/>
        <v>Samedi</v>
      </c>
      <c r="C18" s="20">
        <f>'Stratégie de Communication'!$C$7+12</f>
        <v>46249</v>
      </c>
      <c r="D18" s="19" t="str">
        <f t="shared" si="1"/>
        <v>août 2026</v>
      </c>
      <c r="E18" s="12"/>
      <c r="F18" s="12"/>
      <c r="G18" s="12"/>
      <c r="H18" s="12"/>
      <c r="I18" s="12"/>
      <c r="J18" s="12"/>
      <c r="K18" s="17"/>
      <c r="L18" s="12"/>
      <c r="M18" s="12" t="s">
        <v>55</v>
      </c>
      <c r="N18" s="18">
        <f>DATEDIF('Stratégie de Communication'!$C$7,C18,"m")+1</f>
        <v>1</v>
      </c>
    </row>
    <row r="19" spans="1:14" ht="30" customHeight="1" x14ac:dyDescent="0.3">
      <c r="A19" s="33"/>
      <c r="B19" s="19" t="str">
        <f t="shared" si="0"/>
        <v>Dimanche</v>
      </c>
      <c r="C19" s="20">
        <f>'Stratégie de Communication'!$C$7+13</f>
        <v>46250</v>
      </c>
      <c r="D19" s="19" t="str">
        <f t="shared" si="1"/>
        <v>août 2026</v>
      </c>
      <c r="E19" s="12"/>
      <c r="F19" s="12"/>
      <c r="G19" s="12"/>
      <c r="H19" s="12"/>
      <c r="I19" s="12"/>
      <c r="J19" s="12"/>
      <c r="K19" s="17"/>
      <c r="L19" s="12"/>
      <c r="M19" s="12" t="s">
        <v>55</v>
      </c>
      <c r="N19" s="18">
        <f>DATEDIF('Stratégie de Communication'!$C$7,C19,"m")+1</f>
        <v>1</v>
      </c>
    </row>
    <row r="20" spans="1:14" ht="30" customHeight="1" x14ac:dyDescent="0.3">
      <c r="A20" s="33">
        <v>3</v>
      </c>
      <c r="B20" s="15" t="str">
        <f t="shared" si="0"/>
        <v>Lundi</v>
      </c>
      <c r="C20" s="16">
        <f>'Stratégie de Communication'!$C$7+14</f>
        <v>46251</v>
      </c>
      <c r="D20" s="15" t="str">
        <f t="shared" si="1"/>
        <v>août 2026</v>
      </c>
      <c r="E20" s="12"/>
      <c r="F20" s="12"/>
      <c r="G20" s="12"/>
      <c r="H20" s="12"/>
      <c r="I20" s="12"/>
      <c r="J20" s="12"/>
      <c r="K20" s="17"/>
      <c r="L20" s="12"/>
      <c r="M20" s="12" t="s">
        <v>55</v>
      </c>
      <c r="N20" s="18">
        <f>DATEDIF('Stratégie de Communication'!$C$7,C20,"m")+1</f>
        <v>1</v>
      </c>
    </row>
    <row r="21" spans="1:14" ht="30" customHeight="1" x14ac:dyDescent="0.3">
      <c r="A21" s="33"/>
      <c r="B21" s="15" t="str">
        <f t="shared" si="0"/>
        <v>Mardi</v>
      </c>
      <c r="C21" s="16">
        <f>'Stratégie de Communication'!$C$7+15</f>
        <v>46252</v>
      </c>
      <c r="D21" s="15" t="str">
        <f t="shared" si="1"/>
        <v>août 2026</v>
      </c>
      <c r="E21" s="12"/>
      <c r="F21" s="12"/>
      <c r="G21" s="12"/>
      <c r="H21" s="12"/>
      <c r="I21" s="12"/>
      <c r="J21" s="12"/>
      <c r="K21" s="17"/>
      <c r="L21" s="12"/>
      <c r="M21" s="12" t="s">
        <v>55</v>
      </c>
      <c r="N21" s="18">
        <f>DATEDIF('Stratégie de Communication'!$C$7,C21,"m")+1</f>
        <v>1</v>
      </c>
    </row>
    <row r="22" spans="1:14" ht="30" customHeight="1" x14ac:dyDescent="0.3">
      <c r="A22" s="33"/>
      <c r="B22" s="15" t="str">
        <f t="shared" si="0"/>
        <v>Mercredi</v>
      </c>
      <c r="C22" s="16">
        <f>'Stratégie de Communication'!$C$7+16</f>
        <v>46253</v>
      </c>
      <c r="D22" s="15" t="str">
        <f t="shared" si="1"/>
        <v>août 2026</v>
      </c>
      <c r="E22" s="12"/>
      <c r="F22" s="12"/>
      <c r="G22" s="12"/>
      <c r="H22" s="12"/>
      <c r="I22" s="12"/>
      <c r="J22" s="12"/>
      <c r="K22" s="17"/>
      <c r="L22" s="12"/>
      <c r="M22" s="12" t="s">
        <v>55</v>
      </c>
      <c r="N22" s="18">
        <f>DATEDIF('Stratégie de Communication'!$C$7,C22,"m")+1</f>
        <v>1</v>
      </c>
    </row>
    <row r="23" spans="1:14" ht="30" customHeight="1" x14ac:dyDescent="0.3">
      <c r="A23" s="33"/>
      <c r="B23" s="15" t="str">
        <f t="shared" si="0"/>
        <v>Jeudi</v>
      </c>
      <c r="C23" s="16">
        <f>'Stratégie de Communication'!$C$7+17</f>
        <v>46254</v>
      </c>
      <c r="D23" s="15" t="str">
        <f t="shared" si="1"/>
        <v>août 2026</v>
      </c>
      <c r="E23" s="12"/>
      <c r="F23" s="12"/>
      <c r="G23" s="12"/>
      <c r="H23" s="12"/>
      <c r="I23" s="12"/>
      <c r="J23" s="12"/>
      <c r="K23" s="17"/>
      <c r="L23" s="12"/>
      <c r="M23" s="12" t="s">
        <v>55</v>
      </c>
      <c r="N23" s="18">
        <f>DATEDIF('Stratégie de Communication'!$C$7,C23,"m")+1</f>
        <v>1</v>
      </c>
    </row>
    <row r="24" spans="1:14" ht="30" customHeight="1" x14ac:dyDescent="0.3">
      <c r="A24" s="33"/>
      <c r="B24" s="15" t="str">
        <f t="shared" si="0"/>
        <v>Vendredi</v>
      </c>
      <c r="C24" s="16">
        <f>'Stratégie de Communication'!$C$7+18</f>
        <v>46255</v>
      </c>
      <c r="D24" s="15" t="str">
        <f t="shared" si="1"/>
        <v>août 2026</v>
      </c>
      <c r="E24" s="12"/>
      <c r="F24" s="12"/>
      <c r="G24" s="12"/>
      <c r="H24" s="12"/>
      <c r="I24" s="12"/>
      <c r="J24" s="12"/>
      <c r="K24" s="17"/>
      <c r="L24" s="12"/>
      <c r="M24" s="12" t="s">
        <v>55</v>
      </c>
      <c r="N24" s="18">
        <f>DATEDIF('Stratégie de Communication'!$C$7,C24,"m")+1</f>
        <v>1</v>
      </c>
    </row>
    <row r="25" spans="1:14" ht="30" customHeight="1" x14ac:dyDescent="0.3">
      <c r="A25" s="33"/>
      <c r="B25" s="15" t="str">
        <f t="shared" si="0"/>
        <v>Samedi</v>
      </c>
      <c r="C25" s="16">
        <f>'Stratégie de Communication'!$C$7+19</f>
        <v>46256</v>
      </c>
      <c r="D25" s="15" t="str">
        <f t="shared" si="1"/>
        <v>août 2026</v>
      </c>
      <c r="E25" s="12"/>
      <c r="F25" s="12"/>
      <c r="G25" s="12"/>
      <c r="H25" s="12"/>
      <c r="I25" s="12"/>
      <c r="J25" s="12"/>
      <c r="K25" s="17"/>
      <c r="L25" s="12"/>
      <c r="M25" s="12" t="s">
        <v>55</v>
      </c>
      <c r="N25" s="18">
        <f>DATEDIF('Stratégie de Communication'!$C$7,C25,"m")+1</f>
        <v>1</v>
      </c>
    </row>
    <row r="26" spans="1:14" ht="30" customHeight="1" x14ac:dyDescent="0.3">
      <c r="A26" s="33"/>
      <c r="B26" s="15" t="str">
        <f t="shared" si="0"/>
        <v>Dimanche</v>
      </c>
      <c r="C26" s="16">
        <f>'Stratégie de Communication'!$C$7+20</f>
        <v>46257</v>
      </c>
      <c r="D26" s="15" t="str">
        <f t="shared" si="1"/>
        <v>août 2026</v>
      </c>
      <c r="E26" s="12"/>
      <c r="F26" s="12"/>
      <c r="G26" s="12"/>
      <c r="H26" s="12"/>
      <c r="I26" s="12"/>
      <c r="J26" s="12"/>
      <c r="K26" s="17"/>
      <c r="L26" s="12"/>
      <c r="M26" s="12" t="s">
        <v>55</v>
      </c>
      <c r="N26" s="18">
        <f>DATEDIF('Stratégie de Communication'!$C$7,C26,"m")+1</f>
        <v>1</v>
      </c>
    </row>
    <row r="27" spans="1:14" ht="30" customHeight="1" x14ac:dyDescent="0.3">
      <c r="A27" s="33">
        <v>4</v>
      </c>
      <c r="B27" s="19" t="str">
        <f t="shared" si="0"/>
        <v>Lundi</v>
      </c>
      <c r="C27" s="20">
        <f>'Stratégie de Communication'!$C$7+21</f>
        <v>46258</v>
      </c>
      <c r="D27" s="19" t="str">
        <f t="shared" si="1"/>
        <v>août 2026</v>
      </c>
      <c r="E27" s="12"/>
      <c r="F27" s="12"/>
      <c r="G27" s="12"/>
      <c r="H27" s="12"/>
      <c r="I27" s="12"/>
      <c r="J27" s="12"/>
      <c r="K27" s="17"/>
      <c r="L27" s="12"/>
      <c r="M27" s="12" t="s">
        <v>55</v>
      </c>
      <c r="N27" s="18">
        <f>DATEDIF('Stratégie de Communication'!$C$7,C27,"m")+1</f>
        <v>1</v>
      </c>
    </row>
    <row r="28" spans="1:14" ht="30" customHeight="1" x14ac:dyDescent="0.3">
      <c r="A28" s="33"/>
      <c r="B28" s="19" t="str">
        <f t="shared" si="0"/>
        <v>Mardi</v>
      </c>
      <c r="C28" s="20">
        <f>'Stratégie de Communication'!$C$7+22</f>
        <v>46259</v>
      </c>
      <c r="D28" s="19" t="str">
        <f t="shared" si="1"/>
        <v>août 2026</v>
      </c>
      <c r="E28" s="12"/>
      <c r="F28" s="12"/>
      <c r="G28" s="12"/>
      <c r="H28" s="12"/>
      <c r="I28" s="12"/>
      <c r="J28" s="12"/>
      <c r="K28" s="17"/>
      <c r="L28" s="12"/>
      <c r="M28" s="12" t="s">
        <v>55</v>
      </c>
      <c r="N28" s="18">
        <f>DATEDIF('Stratégie de Communication'!$C$7,C28,"m")+1</f>
        <v>1</v>
      </c>
    </row>
    <row r="29" spans="1:14" ht="30" customHeight="1" x14ac:dyDescent="0.3">
      <c r="A29" s="33"/>
      <c r="B29" s="19" t="str">
        <f t="shared" si="0"/>
        <v>Mercredi</v>
      </c>
      <c r="C29" s="20">
        <f>'Stratégie de Communication'!$C$7+23</f>
        <v>46260</v>
      </c>
      <c r="D29" s="19" t="str">
        <f t="shared" si="1"/>
        <v>août 2026</v>
      </c>
      <c r="E29" s="12"/>
      <c r="F29" s="12"/>
      <c r="G29" s="12"/>
      <c r="H29" s="12"/>
      <c r="I29" s="12"/>
      <c r="J29" s="12"/>
      <c r="K29" s="17"/>
      <c r="L29" s="12"/>
      <c r="M29" s="12" t="s">
        <v>55</v>
      </c>
      <c r="N29" s="18">
        <f>DATEDIF('Stratégie de Communication'!$C$7,C29,"m")+1</f>
        <v>1</v>
      </c>
    </row>
    <row r="30" spans="1:14" ht="30" customHeight="1" x14ac:dyDescent="0.3">
      <c r="A30" s="33"/>
      <c r="B30" s="19" t="str">
        <f t="shared" si="0"/>
        <v>Jeudi</v>
      </c>
      <c r="C30" s="20">
        <f>'Stratégie de Communication'!$C$7+24</f>
        <v>46261</v>
      </c>
      <c r="D30" s="19" t="str">
        <f t="shared" si="1"/>
        <v>août 2026</v>
      </c>
      <c r="E30" s="12"/>
      <c r="F30" s="12"/>
      <c r="G30" s="12"/>
      <c r="H30" s="12"/>
      <c r="I30" s="12"/>
      <c r="J30" s="12"/>
      <c r="K30" s="17"/>
      <c r="L30" s="12"/>
      <c r="M30" s="12" t="s">
        <v>55</v>
      </c>
      <c r="N30" s="18">
        <f>DATEDIF('Stratégie de Communication'!$C$7,C30,"m")+1</f>
        <v>1</v>
      </c>
    </row>
    <row r="31" spans="1:14" ht="30" customHeight="1" x14ac:dyDescent="0.3">
      <c r="A31" s="33"/>
      <c r="B31" s="19" t="str">
        <f t="shared" si="0"/>
        <v>Vendredi</v>
      </c>
      <c r="C31" s="20">
        <f>'Stratégie de Communication'!$C$7+25</f>
        <v>46262</v>
      </c>
      <c r="D31" s="19" t="str">
        <f t="shared" si="1"/>
        <v>août 2026</v>
      </c>
      <c r="E31" s="12"/>
      <c r="F31" s="12"/>
      <c r="G31" s="12"/>
      <c r="H31" s="12"/>
      <c r="I31" s="12"/>
      <c r="J31" s="12"/>
      <c r="K31" s="17"/>
      <c r="L31" s="12"/>
      <c r="M31" s="12" t="s">
        <v>55</v>
      </c>
      <c r="N31" s="18">
        <f>DATEDIF('Stratégie de Communication'!$C$7,C31,"m")+1</f>
        <v>1</v>
      </c>
    </row>
    <row r="32" spans="1:14" ht="30" customHeight="1" x14ac:dyDescent="0.3">
      <c r="A32" s="33"/>
      <c r="B32" s="19" t="str">
        <f t="shared" si="0"/>
        <v>Samedi</v>
      </c>
      <c r="C32" s="20">
        <f>'Stratégie de Communication'!$C$7+26</f>
        <v>46263</v>
      </c>
      <c r="D32" s="19" t="str">
        <f t="shared" si="1"/>
        <v>août 2026</v>
      </c>
      <c r="E32" s="12"/>
      <c r="F32" s="12"/>
      <c r="G32" s="12"/>
      <c r="H32" s="12"/>
      <c r="I32" s="12"/>
      <c r="J32" s="12"/>
      <c r="K32" s="17"/>
      <c r="L32" s="12"/>
      <c r="M32" s="12" t="s">
        <v>55</v>
      </c>
      <c r="N32" s="18">
        <f>DATEDIF('Stratégie de Communication'!$C$7,C32,"m")+1</f>
        <v>1</v>
      </c>
    </row>
    <row r="33" spans="1:14" ht="30" customHeight="1" x14ac:dyDescent="0.3">
      <c r="A33" s="33"/>
      <c r="B33" s="19" t="str">
        <f t="shared" si="0"/>
        <v>Dimanche</v>
      </c>
      <c r="C33" s="20">
        <f>'Stratégie de Communication'!$C$7+27</f>
        <v>46264</v>
      </c>
      <c r="D33" s="19" t="str">
        <f t="shared" si="1"/>
        <v>août 2026</v>
      </c>
      <c r="E33" s="12"/>
      <c r="F33" s="12"/>
      <c r="G33" s="12"/>
      <c r="H33" s="12"/>
      <c r="I33" s="12"/>
      <c r="J33" s="12"/>
      <c r="K33" s="17"/>
      <c r="L33" s="12"/>
      <c r="M33" s="12" t="s">
        <v>55</v>
      </c>
      <c r="N33" s="18">
        <f>DATEDIF('Stratégie de Communication'!$C$7,C33,"m")+1</f>
        <v>1</v>
      </c>
    </row>
    <row r="34" spans="1:14" ht="30" customHeight="1" x14ac:dyDescent="0.3">
      <c r="A34" s="33">
        <v>5</v>
      </c>
      <c r="B34" s="15" t="str">
        <f t="shared" si="0"/>
        <v>Lundi</v>
      </c>
      <c r="C34" s="16">
        <f>'Stratégie de Communication'!$C$7+28</f>
        <v>46265</v>
      </c>
      <c r="D34" s="15" t="str">
        <f t="shared" si="1"/>
        <v>août 2026</v>
      </c>
      <c r="E34" s="12"/>
      <c r="F34" s="12"/>
      <c r="G34" s="12"/>
      <c r="H34" s="12"/>
      <c r="I34" s="12"/>
      <c r="J34" s="12"/>
      <c r="K34" s="17"/>
      <c r="L34" s="12"/>
      <c r="M34" s="12" t="s">
        <v>55</v>
      </c>
      <c r="N34" s="18">
        <f>DATEDIF('Stratégie de Communication'!$C$7,C34,"m")+1</f>
        <v>1</v>
      </c>
    </row>
    <row r="35" spans="1:14" ht="30" customHeight="1" x14ac:dyDescent="0.3">
      <c r="A35" s="33"/>
      <c r="B35" s="15" t="str">
        <f t="shared" si="0"/>
        <v>Mardi</v>
      </c>
      <c r="C35" s="16">
        <f>'Stratégie de Communication'!$C$7+29</f>
        <v>46266</v>
      </c>
      <c r="D35" s="15" t="str">
        <f t="shared" si="1"/>
        <v>septembre 2026</v>
      </c>
      <c r="E35" s="12"/>
      <c r="F35" s="12"/>
      <c r="G35" s="12"/>
      <c r="H35" s="12"/>
      <c r="I35" s="12"/>
      <c r="J35" s="12"/>
      <c r="K35" s="17"/>
      <c r="L35" s="12"/>
      <c r="M35" s="12" t="s">
        <v>55</v>
      </c>
      <c r="N35" s="18">
        <f>DATEDIF('Stratégie de Communication'!$C$7,C35,"m")+1</f>
        <v>1</v>
      </c>
    </row>
    <row r="36" spans="1:14" ht="30" customHeight="1" x14ac:dyDescent="0.3">
      <c r="A36" s="33"/>
      <c r="B36" s="15" t="str">
        <f t="shared" si="0"/>
        <v>Mercredi</v>
      </c>
      <c r="C36" s="16">
        <f>'Stratégie de Communication'!$C$7+30</f>
        <v>46267</v>
      </c>
      <c r="D36" s="15" t="str">
        <f t="shared" si="1"/>
        <v>septembre 2026</v>
      </c>
      <c r="E36" s="12"/>
      <c r="F36" s="12"/>
      <c r="G36" s="12"/>
      <c r="H36" s="12"/>
      <c r="I36" s="12"/>
      <c r="J36" s="12"/>
      <c r="K36" s="17"/>
      <c r="L36" s="12"/>
      <c r="M36" s="12" t="s">
        <v>55</v>
      </c>
      <c r="N36" s="18">
        <f>DATEDIF('Stratégie de Communication'!$C$7,C36,"m")+1</f>
        <v>1</v>
      </c>
    </row>
    <row r="37" spans="1:14" ht="30" customHeight="1" x14ac:dyDescent="0.3">
      <c r="A37" s="33"/>
      <c r="B37" s="15" t="str">
        <f t="shared" si="0"/>
        <v>Jeudi</v>
      </c>
      <c r="C37" s="16">
        <f>'Stratégie de Communication'!$C$7+31</f>
        <v>46268</v>
      </c>
      <c r="D37" s="15" t="str">
        <f t="shared" si="1"/>
        <v>septembre 2026</v>
      </c>
      <c r="E37" s="12"/>
      <c r="F37" s="12"/>
      <c r="G37" s="12"/>
      <c r="H37" s="12"/>
      <c r="I37" s="12"/>
      <c r="J37" s="12"/>
      <c r="K37" s="17"/>
      <c r="L37" s="12"/>
      <c r="M37" s="12" t="s">
        <v>55</v>
      </c>
      <c r="N37" s="18">
        <f>DATEDIF('Stratégie de Communication'!$C$7,C37,"m")+1</f>
        <v>2</v>
      </c>
    </row>
    <row r="38" spans="1:14" ht="30" customHeight="1" x14ac:dyDescent="0.3">
      <c r="A38" s="33"/>
      <c r="B38" s="15" t="str">
        <f t="shared" ref="B38:B69" si="2">CHOOSE(WEEKDAY(C38,2),"Lundi","Mardi","Mercredi","Jeudi","Vendredi","Samedi","Dimanche")</f>
        <v>Vendredi</v>
      </c>
      <c r="C38" s="16">
        <f>'Stratégie de Communication'!$C$7+32</f>
        <v>46269</v>
      </c>
      <c r="D38" s="15" t="str">
        <f t="shared" ref="D38:D69" si="3">CHOOSE(MONTH(C38),"janvier","février","mars","avril","mai","juin","juillet","août","septembre","octobre","novembre","décembre")&amp;" "&amp;YEAR(C38)</f>
        <v>septembre 2026</v>
      </c>
      <c r="E38" s="12"/>
      <c r="F38" s="12"/>
      <c r="G38" s="12"/>
      <c r="H38" s="12"/>
      <c r="I38" s="12"/>
      <c r="J38" s="12"/>
      <c r="K38" s="17"/>
      <c r="L38" s="12"/>
      <c r="M38" s="12" t="s">
        <v>55</v>
      </c>
      <c r="N38" s="18">
        <f>DATEDIF('Stratégie de Communication'!$C$7,C38,"m")+1</f>
        <v>2</v>
      </c>
    </row>
    <row r="39" spans="1:14" ht="30" customHeight="1" x14ac:dyDescent="0.3">
      <c r="A39" s="33"/>
      <c r="B39" s="15" t="str">
        <f t="shared" si="2"/>
        <v>Samedi</v>
      </c>
      <c r="C39" s="16">
        <f>'Stratégie de Communication'!$C$7+33</f>
        <v>46270</v>
      </c>
      <c r="D39" s="15" t="str">
        <f t="shared" si="3"/>
        <v>septembre 2026</v>
      </c>
      <c r="E39" s="12"/>
      <c r="F39" s="12"/>
      <c r="G39" s="12"/>
      <c r="H39" s="12"/>
      <c r="I39" s="12"/>
      <c r="J39" s="12"/>
      <c r="K39" s="17"/>
      <c r="L39" s="12"/>
      <c r="M39" s="12" t="s">
        <v>55</v>
      </c>
      <c r="N39" s="18">
        <f>DATEDIF('Stratégie de Communication'!$C$7,C39,"m")+1</f>
        <v>2</v>
      </c>
    </row>
    <row r="40" spans="1:14" ht="30" customHeight="1" x14ac:dyDescent="0.3">
      <c r="A40" s="33"/>
      <c r="B40" s="15" t="str">
        <f t="shared" si="2"/>
        <v>Dimanche</v>
      </c>
      <c r="C40" s="16">
        <f>'Stratégie de Communication'!$C$7+34</f>
        <v>46271</v>
      </c>
      <c r="D40" s="15" t="str">
        <f t="shared" si="3"/>
        <v>septembre 2026</v>
      </c>
      <c r="E40" s="12"/>
      <c r="F40" s="12"/>
      <c r="G40" s="12"/>
      <c r="H40" s="12"/>
      <c r="I40" s="12"/>
      <c r="J40" s="12"/>
      <c r="K40" s="17"/>
      <c r="L40" s="12"/>
      <c r="M40" s="12" t="s">
        <v>55</v>
      </c>
      <c r="N40" s="18">
        <f>DATEDIF('Stratégie de Communication'!$C$7,C40,"m")+1</f>
        <v>2</v>
      </c>
    </row>
    <row r="41" spans="1:14" ht="30" customHeight="1" x14ac:dyDescent="0.3">
      <c r="A41" s="33">
        <v>6</v>
      </c>
      <c r="B41" s="19" t="str">
        <f t="shared" si="2"/>
        <v>Lundi</v>
      </c>
      <c r="C41" s="20">
        <f>'Stratégie de Communication'!$C$7+35</f>
        <v>46272</v>
      </c>
      <c r="D41" s="19" t="str">
        <f t="shared" si="3"/>
        <v>septembre 2026</v>
      </c>
      <c r="E41" s="12"/>
      <c r="F41" s="12"/>
      <c r="G41" s="12"/>
      <c r="H41" s="12"/>
      <c r="I41" s="12"/>
      <c r="J41" s="12"/>
      <c r="K41" s="17"/>
      <c r="L41" s="12"/>
      <c r="M41" s="12" t="s">
        <v>55</v>
      </c>
      <c r="N41" s="18">
        <f>DATEDIF('Stratégie de Communication'!$C$7,C41,"m")+1</f>
        <v>2</v>
      </c>
    </row>
    <row r="42" spans="1:14" ht="30" customHeight="1" x14ac:dyDescent="0.3">
      <c r="A42" s="33"/>
      <c r="B42" s="19" t="str">
        <f t="shared" si="2"/>
        <v>Mardi</v>
      </c>
      <c r="C42" s="20">
        <f>'Stratégie de Communication'!$C$7+36</f>
        <v>46273</v>
      </c>
      <c r="D42" s="19" t="str">
        <f t="shared" si="3"/>
        <v>septembre 2026</v>
      </c>
      <c r="E42" s="12"/>
      <c r="F42" s="12"/>
      <c r="G42" s="12"/>
      <c r="H42" s="12"/>
      <c r="I42" s="12"/>
      <c r="J42" s="12"/>
      <c r="K42" s="17"/>
      <c r="L42" s="12"/>
      <c r="M42" s="12" t="s">
        <v>55</v>
      </c>
      <c r="N42" s="18">
        <f>DATEDIF('Stratégie de Communication'!$C$7,C42,"m")+1</f>
        <v>2</v>
      </c>
    </row>
    <row r="43" spans="1:14" ht="30" customHeight="1" x14ac:dyDescent="0.3">
      <c r="A43" s="33"/>
      <c r="B43" s="19" t="str">
        <f t="shared" si="2"/>
        <v>Mercredi</v>
      </c>
      <c r="C43" s="20">
        <f>'Stratégie de Communication'!$C$7+37</f>
        <v>46274</v>
      </c>
      <c r="D43" s="19" t="str">
        <f t="shared" si="3"/>
        <v>septembre 2026</v>
      </c>
      <c r="E43" s="12"/>
      <c r="F43" s="12"/>
      <c r="G43" s="12"/>
      <c r="H43" s="12"/>
      <c r="I43" s="12"/>
      <c r="J43" s="12"/>
      <c r="K43" s="17"/>
      <c r="L43" s="12"/>
      <c r="M43" s="12" t="s">
        <v>55</v>
      </c>
      <c r="N43" s="18">
        <f>DATEDIF('Stratégie de Communication'!$C$7,C43,"m")+1</f>
        <v>2</v>
      </c>
    </row>
    <row r="44" spans="1:14" ht="30" customHeight="1" x14ac:dyDescent="0.3">
      <c r="A44" s="33"/>
      <c r="B44" s="19" t="str">
        <f t="shared" si="2"/>
        <v>Jeudi</v>
      </c>
      <c r="C44" s="20">
        <f>'Stratégie de Communication'!$C$7+38</f>
        <v>46275</v>
      </c>
      <c r="D44" s="19" t="str">
        <f t="shared" si="3"/>
        <v>septembre 2026</v>
      </c>
      <c r="E44" s="12"/>
      <c r="F44" s="12"/>
      <c r="G44" s="12"/>
      <c r="H44" s="12"/>
      <c r="I44" s="12"/>
      <c r="J44" s="12"/>
      <c r="K44" s="17"/>
      <c r="L44" s="12"/>
      <c r="M44" s="12" t="s">
        <v>55</v>
      </c>
      <c r="N44" s="18">
        <f>DATEDIF('Stratégie de Communication'!$C$7,C44,"m")+1</f>
        <v>2</v>
      </c>
    </row>
    <row r="45" spans="1:14" ht="30" customHeight="1" x14ac:dyDescent="0.3">
      <c r="A45" s="33"/>
      <c r="B45" s="19" t="str">
        <f t="shared" si="2"/>
        <v>Vendredi</v>
      </c>
      <c r="C45" s="20">
        <f>'Stratégie de Communication'!$C$7+39</f>
        <v>46276</v>
      </c>
      <c r="D45" s="19" t="str">
        <f t="shared" si="3"/>
        <v>septembre 2026</v>
      </c>
      <c r="E45" s="12"/>
      <c r="F45" s="12"/>
      <c r="G45" s="12"/>
      <c r="H45" s="12"/>
      <c r="I45" s="12"/>
      <c r="J45" s="12"/>
      <c r="K45" s="17"/>
      <c r="L45" s="12"/>
      <c r="M45" s="12" t="s">
        <v>55</v>
      </c>
      <c r="N45" s="18">
        <f>DATEDIF('Stratégie de Communication'!$C$7,C45,"m")+1</f>
        <v>2</v>
      </c>
    </row>
    <row r="46" spans="1:14" ht="30" customHeight="1" x14ac:dyDescent="0.3">
      <c r="A46" s="33"/>
      <c r="B46" s="19" t="str">
        <f t="shared" si="2"/>
        <v>Samedi</v>
      </c>
      <c r="C46" s="20">
        <f>'Stratégie de Communication'!$C$7+40</f>
        <v>46277</v>
      </c>
      <c r="D46" s="19" t="str">
        <f t="shared" si="3"/>
        <v>septembre 2026</v>
      </c>
      <c r="E46" s="12"/>
      <c r="F46" s="12"/>
      <c r="G46" s="12"/>
      <c r="H46" s="12"/>
      <c r="I46" s="12"/>
      <c r="J46" s="12"/>
      <c r="K46" s="17"/>
      <c r="L46" s="12"/>
      <c r="M46" s="12" t="s">
        <v>55</v>
      </c>
      <c r="N46" s="18">
        <f>DATEDIF('Stratégie de Communication'!$C$7,C46,"m")+1</f>
        <v>2</v>
      </c>
    </row>
    <row r="47" spans="1:14" ht="30" customHeight="1" x14ac:dyDescent="0.3">
      <c r="A47" s="33"/>
      <c r="B47" s="19" t="str">
        <f t="shared" si="2"/>
        <v>Dimanche</v>
      </c>
      <c r="C47" s="20">
        <f>'Stratégie de Communication'!$C$7+41</f>
        <v>46278</v>
      </c>
      <c r="D47" s="19" t="str">
        <f t="shared" si="3"/>
        <v>septembre 2026</v>
      </c>
      <c r="E47" s="12"/>
      <c r="F47" s="12"/>
      <c r="G47" s="12"/>
      <c r="H47" s="12"/>
      <c r="I47" s="12"/>
      <c r="J47" s="12"/>
      <c r="K47" s="17"/>
      <c r="L47" s="12"/>
      <c r="M47" s="12" t="s">
        <v>55</v>
      </c>
      <c r="N47" s="18">
        <f>DATEDIF('Stratégie de Communication'!$C$7,C47,"m")+1</f>
        <v>2</v>
      </c>
    </row>
    <row r="48" spans="1:14" ht="30" customHeight="1" x14ac:dyDescent="0.3">
      <c r="A48" s="33">
        <v>7</v>
      </c>
      <c r="B48" s="15" t="str">
        <f t="shared" si="2"/>
        <v>Lundi</v>
      </c>
      <c r="C48" s="16">
        <f>'Stratégie de Communication'!$C$7+42</f>
        <v>46279</v>
      </c>
      <c r="D48" s="15" t="str">
        <f t="shared" si="3"/>
        <v>septembre 2026</v>
      </c>
      <c r="E48" s="12"/>
      <c r="F48" s="12"/>
      <c r="G48" s="12"/>
      <c r="H48" s="12"/>
      <c r="I48" s="12"/>
      <c r="J48" s="12"/>
      <c r="K48" s="17"/>
      <c r="L48" s="12"/>
      <c r="M48" s="12" t="s">
        <v>55</v>
      </c>
      <c r="N48" s="18">
        <f>DATEDIF('Stratégie de Communication'!$C$7,C48,"m")+1</f>
        <v>2</v>
      </c>
    </row>
    <row r="49" spans="1:14" ht="30" customHeight="1" x14ac:dyDescent="0.3">
      <c r="A49" s="33"/>
      <c r="B49" s="15" t="str">
        <f t="shared" si="2"/>
        <v>Mardi</v>
      </c>
      <c r="C49" s="16">
        <f>'Stratégie de Communication'!$C$7+43</f>
        <v>46280</v>
      </c>
      <c r="D49" s="15" t="str">
        <f t="shared" si="3"/>
        <v>septembre 2026</v>
      </c>
      <c r="E49" s="12"/>
      <c r="F49" s="12"/>
      <c r="G49" s="12"/>
      <c r="H49" s="12"/>
      <c r="I49" s="12"/>
      <c r="J49" s="12"/>
      <c r="K49" s="17"/>
      <c r="L49" s="12"/>
      <c r="M49" s="12" t="s">
        <v>55</v>
      </c>
      <c r="N49" s="18">
        <f>DATEDIF('Stratégie de Communication'!$C$7,C49,"m")+1</f>
        <v>2</v>
      </c>
    </row>
    <row r="50" spans="1:14" ht="30" customHeight="1" x14ac:dyDescent="0.3">
      <c r="A50" s="33"/>
      <c r="B50" s="15" t="str">
        <f t="shared" si="2"/>
        <v>Mercredi</v>
      </c>
      <c r="C50" s="16">
        <f>'Stratégie de Communication'!$C$7+44</f>
        <v>46281</v>
      </c>
      <c r="D50" s="15" t="str">
        <f t="shared" si="3"/>
        <v>septembre 2026</v>
      </c>
      <c r="E50" s="12"/>
      <c r="F50" s="12"/>
      <c r="G50" s="12"/>
      <c r="H50" s="12"/>
      <c r="I50" s="12"/>
      <c r="J50" s="12"/>
      <c r="K50" s="17"/>
      <c r="L50" s="12"/>
      <c r="M50" s="12" t="s">
        <v>55</v>
      </c>
      <c r="N50" s="18">
        <f>DATEDIF('Stratégie de Communication'!$C$7,C50,"m")+1</f>
        <v>2</v>
      </c>
    </row>
    <row r="51" spans="1:14" ht="30" customHeight="1" x14ac:dyDescent="0.3">
      <c r="A51" s="33"/>
      <c r="B51" s="15" t="str">
        <f t="shared" si="2"/>
        <v>Jeudi</v>
      </c>
      <c r="C51" s="16">
        <f>'Stratégie de Communication'!$C$7+45</f>
        <v>46282</v>
      </c>
      <c r="D51" s="15" t="str">
        <f t="shared" si="3"/>
        <v>septembre 2026</v>
      </c>
      <c r="E51" s="12"/>
      <c r="F51" s="12"/>
      <c r="G51" s="12"/>
      <c r="H51" s="12"/>
      <c r="I51" s="12"/>
      <c r="J51" s="12"/>
      <c r="K51" s="17"/>
      <c r="L51" s="12"/>
      <c r="M51" s="12" t="s">
        <v>55</v>
      </c>
      <c r="N51" s="18">
        <f>DATEDIF('Stratégie de Communication'!$C$7,C51,"m")+1</f>
        <v>2</v>
      </c>
    </row>
    <row r="52" spans="1:14" ht="30" customHeight="1" x14ac:dyDescent="0.3">
      <c r="A52" s="33"/>
      <c r="B52" s="15" t="str">
        <f t="shared" si="2"/>
        <v>Vendredi</v>
      </c>
      <c r="C52" s="16">
        <f>'Stratégie de Communication'!$C$7+46</f>
        <v>46283</v>
      </c>
      <c r="D52" s="15" t="str">
        <f t="shared" si="3"/>
        <v>septembre 2026</v>
      </c>
      <c r="E52" s="12"/>
      <c r="F52" s="12"/>
      <c r="G52" s="12"/>
      <c r="H52" s="12"/>
      <c r="I52" s="12"/>
      <c r="J52" s="12"/>
      <c r="K52" s="17"/>
      <c r="L52" s="12"/>
      <c r="M52" s="12" t="s">
        <v>55</v>
      </c>
      <c r="N52" s="18">
        <f>DATEDIF('Stratégie de Communication'!$C$7,C52,"m")+1</f>
        <v>2</v>
      </c>
    </row>
    <row r="53" spans="1:14" ht="30" customHeight="1" x14ac:dyDescent="0.3">
      <c r="A53" s="33"/>
      <c r="B53" s="15" t="str">
        <f t="shared" si="2"/>
        <v>Samedi</v>
      </c>
      <c r="C53" s="16">
        <f>'Stratégie de Communication'!$C$7+47</f>
        <v>46284</v>
      </c>
      <c r="D53" s="15" t="str">
        <f t="shared" si="3"/>
        <v>septembre 2026</v>
      </c>
      <c r="E53" s="12"/>
      <c r="F53" s="12"/>
      <c r="G53" s="12"/>
      <c r="H53" s="12"/>
      <c r="I53" s="12"/>
      <c r="J53" s="12"/>
      <c r="K53" s="17"/>
      <c r="L53" s="12"/>
      <c r="M53" s="12" t="s">
        <v>55</v>
      </c>
      <c r="N53" s="18">
        <f>DATEDIF('Stratégie de Communication'!$C$7,C53,"m")+1</f>
        <v>2</v>
      </c>
    </row>
    <row r="54" spans="1:14" ht="30" customHeight="1" x14ac:dyDescent="0.3">
      <c r="A54" s="33"/>
      <c r="B54" s="15" t="str">
        <f t="shared" si="2"/>
        <v>Dimanche</v>
      </c>
      <c r="C54" s="16">
        <f>'Stratégie de Communication'!$C$7+48</f>
        <v>46285</v>
      </c>
      <c r="D54" s="15" t="str">
        <f t="shared" si="3"/>
        <v>septembre 2026</v>
      </c>
      <c r="E54" s="12"/>
      <c r="F54" s="12"/>
      <c r="G54" s="12"/>
      <c r="H54" s="12"/>
      <c r="I54" s="12"/>
      <c r="J54" s="12"/>
      <c r="K54" s="17"/>
      <c r="L54" s="12"/>
      <c r="M54" s="12" t="s">
        <v>55</v>
      </c>
      <c r="N54" s="18">
        <f>DATEDIF('Stratégie de Communication'!$C$7,C54,"m")+1</f>
        <v>2</v>
      </c>
    </row>
    <row r="55" spans="1:14" ht="30" customHeight="1" x14ac:dyDescent="0.3">
      <c r="A55" s="33">
        <v>8</v>
      </c>
      <c r="B55" s="19" t="str">
        <f t="shared" si="2"/>
        <v>Lundi</v>
      </c>
      <c r="C55" s="20">
        <f>'Stratégie de Communication'!$C$7+49</f>
        <v>46286</v>
      </c>
      <c r="D55" s="19" t="str">
        <f t="shared" si="3"/>
        <v>septembre 2026</v>
      </c>
      <c r="E55" s="12"/>
      <c r="F55" s="12"/>
      <c r="G55" s="12"/>
      <c r="H55" s="12"/>
      <c r="I55" s="12"/>
      <c r="J55" s="12"/>
      <c r="K55" s="17"/>
      <c r="L55" s="12"/>
      <c r="M55" s="12" t="s">
        <v>55</v>
      </c>
      <c r="N55" s="18">
        <f>DATEDIF('Stratégie de Communication'!$C$7,C55,"m")+1</f>
        <v>2</v>
      </c>
    </row>
    <row r="56" spans="1:14" ht="30" customHeight="1" x14ac:dyDescent="0.3">
      <c r="A56" s="33"/>
      <c r="B56" s="19" t="str">
        <f t="shared" si="2"/>
        <v>Mardi</v>
      </c>
      <c r="C56" s="20">
        <f>'Stratégie de Communication'!$C$7+50</f>
        <v>46287</v>
      </c>
      <c r="D56" s="19" t="str">
        <f t="shared" si="3"/>
        <v>septembre 2026</v>
      </c>
      <c r="E56" s="12"/>
      <c r="F56" s="12"/>
      <c r="G56" s="12"/>
      <c r="H56" s="12"/>
      <c r="I56" s="12"/>
      <c r="J56" s="12"/>
      <c r="K56" s="17"/>
      <c r="L56" s="12"/>
      <c r="M56" s="12" t="s">
        <v>55</v>
      </c>
      <c r="N56" s="18">
        <f>DATEDIF('Stratégie de Communication'!$C$7,C56,"m")+1</f>
        <v>2</v>
      </c>
    </row>
    <row r="57" spans="1:14" ht="30" customHeight="1" x14ac:dyDescent="0.3">
      <c r="A57" s="33"/>
      <c r="B57" s="19" t="str">
        <f t="shared" si="2"/>
        <v>Mercredi</v>
      </c>
      <c r="C57" s="20">
        <f>'Stratégie de Communication'!$C$7+51</f>
        <v>46288</v>
      </c>
      <c r="D57" s="19" t="str">
        <f t="shared" si="3"/>
        <v>septembre 2026</v>
      </c>
      <c r="E57" s="12"/>
      <c r="F57" s="12"/>
      <c r="G57" s="12"/>
      <c r="H57" s="12"/>
      <c r="I57" s="12"/>
      <c r="J57" s="12"/>
      <c r="K57" s="17"/>
      <c r="L57" s="12"/>
      <c r="M57" s="12" t="s">
        <v>55</v>
      </c>
      <c r="N57" s="18">
        <f>DATEDIF('Stratégie de Communication'!$C$7,C57,"m")+1</f>
        <v>2</v>
      </c>
    </row>
    <row r="58" spans="1:14" ht="30" customHeight="1" x14ac:dyDescent="0.3">
      <c r="A58" s="33"/>
      <c r="B58" s="19" t="str">
        <f t="shared" si="2"/>
        <v>Jeudi</v>
      </c>
      <c r="C58" s="20">
        <f>'Stratégie de Communication'!$C$7+52</f>
        <v>46289</v>
      </c>
      <c r="D58" s="19" t="str">
        <f t="shared" si="3"/>
        <v>septembre 2026</v>
      </c>
      <c r="E58" s="12"/>
      <c r="F58" s="12"/>
      <c r="G58" s="12"/>
      <c r="H58" s="12"/>
      <c r="I58" s="12"/>
      <c r="J58" s="12"/>
      <c r="K58" s="17"/>
      <c r="L58" s="12"/>
      <c r="M58" s="12" t="s">
        <v>55</v>
      </c>
      <c r="N58" s="18">
        <f>DATEDIF('Stratégie de Communication'!$C$7,C58,"m")+1</f>
        <v>2</v>
      </c>
    </row>
    <row r="59" spans="1:14" ht="30" customHeight="1" x14ac:dyDescent="0.3">
      <c r="A59" s="33"/>
      <c r="B59" s="19" t="str">
        <f t="shared" si="2"/>
        <v>Vendredi</v>
      </c>
      <c r="C59" s="20">
        <f>'Stratégie de Communication'!$C$7+53</f>
        <v>46290</v>
      </c>
      <c r="D59" s="19" t="str">
        <f t="shared" si="3"/>
        <v>septembre 2026</v>
      </c>
      <c r="E59" s="12"/>
      <c r="F59" s="12"/>
      <c r="G59" s="12"/>
      <c r="H59" s="12"/>
      <c r="I59" s="12"/>
      <c r="J59" s="12"/>
      <c r="K59" s="17"/>
      <c r="L59" s="12"/>
      <c r="M59" s="12" t="s">
        <v>55</v>
      </c>
      <c r="N59" s="18">
        <f>DATEDIF('Stratégie de Communication'!$C$7,C59,"m")+1</f>
        <v>2</v>
      </c>
    </row>
    <row r="60" spans="1:14" ht="30" customHeight="1" x14ac:dyDescent="0.3">
      <c r="A60" s="33"/>
      <c r="B60" s="19" t="str">
        <f t="shared" si="2"/>
        <v>Samedi</v>
      </c>
      <c r="C60" s="20">
        <f>'Stratégie de Communication'!$C$7+54</f>
        <v>46291</v>
      </c>
      <c r="D60" s="19" t="str">
        <f t="shared" si="3"/>
        <v>septembre 2026</v>
      </c>
      <c r="E60" s="12"/>
      <c r="F60" s="12"/>
      <c r="G60" s="12"/>
      <c r="H60" s="12"/>
      <c r="I60" s="12"/>
      <c r="J60" s="12"/>
      <c r="K60" s="17"/>
      <c r="L60" s="12"/>
      <c r="M60" s="12" t="s">
        <v>55</v>
      </c>
      <c r="N60" s="18">
        <f>DATEDIF('Stratégie de Communication'!$C$7,C60,"m")+1</f>
        <v>2</v>
      </c>
    </row>
    <row r="61" spans="1:14" ht="30" customHeight="1" x14ac:dyDescent="0.3">
      <c r="A61" s="33"/>
      <c r="B61" s="19" t="str">
        <f t="shared" si="2"/>
        <v>Dimanche</v>
      </c>
      <c r="C61" s="20">
        <f>'Stratégie de Communication'!$C$7+55</f>
        <v>46292</v>
      </c>
      <c r="D61" s="19" t="str">
        <f t="shared" si="3"/>
        <v>septembre 2026</v>
      </c>
      <c r="E61" s="12"/>
      <c r="F61" s="12"/>
      <c r="G61" s="12"/>
      <c r="H61" s="12"/>
      <c r="I61" s="12"/>
      <c r="J61" s="12"/>
      <c r="K61" s="17"/>
      <c r="L61" s="12"/>
      <c r="M61" s="12" t="s">
        <v>55</v>
      </c>
      <c r="N61" s="18">
        <f>DATEDIF('Stratégie de Communication'!$C$7,C61,"m")+1</f>
        <v>2</v>
      </c>
    </row>
    <row r="62" spans="1:14" ht="30" customHeight="1" x14ac:dyDescent="0.3">
      <c r="A62" s="33">
        <v>9</v>
      </c>
      <c r="B62" s="15" t="str">
        <f t="shared" si="2"/>
        <v>Lundi</v>
      </c>
      <c r="C62" s="16">
        <f>'Stratégie de Communication'!$C$7+56</f>
        <v>46293</v>
      </c>
      <c r="D62" s="15" t="str">
        <f t="shared" si="3"/>
        <v>septembre 2026</v>
      </c>
      <c r="E62" s="12"/>
      <c r="F62" s="12"/>
      <c r="G62" s="12"/>
      <c r="H62" s="12"/>
      <c r="I62" s="12"/>
      <c r="J62" s="12"/>
      <c r="K62" s="17"/>
      <c r="L62" s="12"/>
      <c r="M62" s="12" t="s">
        <v>55</v>
      </c>
      <c r="N62" s="18">
        <f>DATEDIF('Stratégie de Communication'!$C$7,C62,"m")+1</f>
        <v>2</v>
      </c>
    </row>
    <row r="63" spans="1:14" ht="30" customHeight="1" x14ac:dyDescent="0.3">
      <c r="A63" s="33"/>
      <c r="B63" s="15" t="str">
        <f t="shared" si="2"/>
        <v>Mardi</v>
      </c>
      <c r="C63" s="16">
        <f>'Stratégie de Communication'!$C$7+57</f>
        <v>46294</v>
      </c>
      <c r="D63" s="15" t="str">
        <f t="shared" si="3"/>
        <v>septembre 2026</v>
      </c>
      <c r="E63" s="12"/>
      <c r="F63" s="12"/>
      <c r="G63" s="12"/>
      <c r="H63" s="12"/>
      <c r="I63" s="12"/>
      <c r="J63" s="12"/>
      <c r="K63" s="17"/>
      <c r="L63" s="12"/>
      <c r="M63" s="12" t="s">
        <v>55</v>
      </c>
      <c r="N63" s="18">
        <f>DATEDIF('Stratégie de Communication'!$C$7,C63,"m")+1</f>
        <v>2</v>
      </c>
    </row>
    <row r="64" spans="1:14" ht="30" customHeight="1" x14ac:dyDescent="0.3">
      <c r="A64" s="33"/>
      <c r="B64" s="15" t="str">
        <f t="shared" si="2"/>
        <v>Mercredi</v>
      </c>
      <c r="C64" s="16">
        <f>'Stratégie de Communication'!$C$7+58</f>
        <v>46295</v>
      </c>
      <c r="D64" s="15" t="str">
        <f t="shared" si="3"/>
        <v>septembre 2026</v>
      </c>
      <c r="E64" s="12"/>
      <c r="F64" s="12"/>
      <c r="G64" s="12"/>
      <c r="H64" s="12"/>
      <c r="I64" s="12"/>
      <c r="J64" s="12"/>
      <c r="K64" s="17"/>
      <c r="L64" s="12"/>
      <c r="M64" s="12" t="s">
        <v>55</v>
      </c>
      <c r="N64" s="18">
        <f>DATEDIF('Stratégie de Communication'!$C$7,C64,"m")+1</f>
        <v>2</v>
      </c>
    </row>
    <row r="65" spans="1:14" ht="30" customHeight="1" x14ac:dyDescent="0.3">
      <c r="A65" s="33"/>
      <c r="B65" s="15" t="str">
        <f t="shared" si="2"/>
        <v>Jeudi</v>
      </c>
      <c r="C65" s="16">
        <f>'Stratégie de Communication'!$C$7+59</f>
        <v>46296</v>
      </c>
      <c r="D65" s="15" t="str">
        <f t="shared" si="3"/>
        <v>octobre 2026</v>
      </c>
      <c r="E65" s="12"/>
      <c r="F65" s="12"/>
      <c r="G65" s="12"/>
      <c r="H65" s="12"/>
      <c r="I65" s="12"/>
      <c r="J65" s="12"/>
      <c r="K65" s="17"/>
      <c r="L65" s="12"/>
      <c r="M65" s="12" t="s">
        <v>55</v>
      </c>
      <c r="N65" s="18">
        <f>DATEDIF('Stratégie de Communication'!$C$7,C65,"m")+1</f>
        <v>2</v>
      </c>
    </row>
    <row r="66" spans="1:14" ht="30" customHeight="1" x14ac:dyDescent="0.3">
      <c r="A66" s="33"/>
      <c r="B66" s="15" t="str">
        <f t="shared" si="2"/>
        <v>Vendredi</v>
      </c>
      <c r="C66" s="16">
        <f>'Stratégie de Communication'!$C$7+60</f>
        <v>46297</v>
      </c>
      <c r="D66" s="15" t="str">
        <f t="shared" si="3"/>
        <v>octobre 2026</v>
      </c>
      <c r="E66" s="12"/>
      <c r="F66" s="12"/>
      <c r="G66" s="12"/>
      <c r="H66" s="12"/>
      <c r="I66" s="12"/>
      <c r="J66" s="12"/>
      <c r="K66" s="17"/>
      <c r="L66" s="12"/>
      <c r="M66" s="12" t="s">
        <v>55</v>
      </c>
      <c r="N66" s="18">
        <f>DATEDIF('Stratégie de Communication'!$C$7,C66,"m")+1</f>
        <v>2</v>
      </c>
    </row>
    <row r="67" spans="1:14" ht="30" customHeight="1" x14ac:dyDescent="0.3">
      <c r="A67" s="33"/>
      <c r="B67" s="15" t="str">
        <f t="shared" si="2"/>
        <v>Samedi</v>
      </c>
      <c r="C67" s="16">
        <f>'Stratégie de Communication'!$C$7+61</f>
        <v>46298</v>
      </c>
      <c r="D67" s="15" t="str">
        <f t="shared" si="3"/>
        <v>octobre 2026</v>
      </c>
      <c r="E67" s="12"/>
      <c r="F67" s="12"/>
      <c r="G67" s="12"/>
      <c r="H67" s="12"/>
      <c r="I67" s="12"/>
      <c r="J67" s="12"/>
      <c r="K67" s="17"/>
      <c r="L67" s="12"/>
      <c r="M67" s="12" t="s">
        <v>55</v>
      </c>
      <c r="N67" s="18">
        <f>DATEDIF('Stratégie de Communication'!$C$7,C67,"m")+1</f>
        <v>3</v>
      </c>
    </row>
    <row r="68" spans="1:14" ht="30" customHeight="1" x14ac:dyDescent="0.3">
      <c r="A68" s="33"/>
      <c r="B68" s="15" t="str">
        <f t="shared" si="2"/>
        <v>Dimanche</v>
      </c>
      <c r="C68" s="16">
        <f>'Stratégie de Communication'!$C$7+62</f>
        <v>46299</v>
      </c>
      <c r="D68" s="15" t="str">
        <f t="shared" si="3"/>
        <v>octobre 2026</v>
      </c>
      <c r="E68" s="12"/>
      <c r="F68" s="12"/>
      <c r="G68" s="12"/>
      <c r="H68" s="12"/>
      <c r="I68" s="12"/>
      <c r="J68" s="12"/>
      <c r="K68" s="17"/>
      <c r="L68" s="12"/>
      <c r="M68" s="12" t="s">
        <v>55</v>
      </c>
      <c r="N68" s="18">
        <f>DATEDIF('Stratégie de Communication'!$C$7,C68,"m")+1</f>
        <v>3</v>
      </c>
    </row>
    <row r="69" spans="1:14" ht="30" customHeight="1" x14ac:dyDescent="0.3">
      <c r="A69" s="33">
        <v>10</v>
      </c>
      <c r="B69" s="19" t="str">
        <f t="shared" si="2"/>
        <v>Lundi</v>
      </c>
      <c r="C69" s="20">
        <f>'Stratégie de Communication'!$C$7+63</f>
        <v>46300</v>
      </c>
      <c r="D69" s="19" t="str">
        <f t="shared" si="3"/>
        <v>octobre 2026</v>
      </c>
      <c r="E69" s="12"/>
      <c r="F69" s="12"/>
      <c r="G69" s="12"/>
      <c r="H69" s="12"/>
      <c r="I69" s="12"/>
      <c r="J69" s="12"/>
      <c r="K69" s="17"/>
      <c r="L69" s="12"/>
      <c r="M69" s="12" t="s">
        <v>55</v>
      </c>
      <c r="N69" s="18">
        <f>DATEDIF('Stratégie de Communication'!$C$7,C69,"m")+1</f>
        <v>3</v>
      </c>
    </row>
    <row r="70" spans="1:14" ht="30" customHeight="1" x14ac:dyDescent="0.3">
      <c r="A70" s="33"/>
      <c r="B70" s="19" t="str">
        <f t="shared" ref="B70:B101" si="4">CHOOSE(WEEKDAY(C70,2),"Lundi","Mardi","Mercredi","Jeudi","Vendredi","Samedi","Dimanche")</f>
        <v>Mardi</v>
      </c>
      <c r="C70" s="20">
        <f>'Stratégie de Communication'!$C$7+64</f>
        <v>46301</v>
      </c>
      <c r="D70" s="19" t="str">
        <f t="shared" ref="D70:D101" si="5">CHOOSE(MONTH(C70),"janvier","février","mars","avril","mai","juin","juillet","août","septembre","octobre","novembre","décembre")&amp;" "&amp;YEAR(C70)</f>
        <v>octobre 2026</v>
      </c>
      <c r="E70" s="12"/>
      <c r="F70" s="12"/>
      <c r="G70" s="12"/>
      <c r="H70" s="12"/>
      <c r="I70" s="12"/>
      <c r="J70" s="12"/>
      <c r="K70" s="17"/>
      <c r="L70" s="12"/>
      <c r="M70" s="12" t="s">
        <v>55</v>
      </c>
      <c r="N70" s="18">
        <f>DATEDIF('Stratégie de Communication'!$C$7,C70,"m")+1</f>
        <v>3</v>
      </c>
    </row>
    <row r="71" spans="1:14" ht="30" customHeight="1" x14ac:dyDescent="0.3">
      <c r="A71" s="33"/>
      <c r="B71" s="19" t="str">
        <f t="shared" si="4"/>
        <v>Mercredi</v>
      </c>
      <c r="C71" s="20">
        <f>'Stratégie de Communication'!$C$7+65</f>
        <v>46302</v>
      </c>
      <c r="D71" s="19" t="str">
        <f t="shared" si="5"/>
        <v>octobre 2026</v>
      </c>
      <c r="E71" s="12"/>
      <c r="F71" s="12"/>
      <c r="G71" s="12"/>
      <c r="H71" s="12"/>
      <c r="I71" s="12"/>
      <c r="J71" s="12"/>
      <c r="K71" s="17"/>
      <c r="L71" s="12"/>
      <c r="M71" s="12" t="s">
        <v>55</v>
      </c>
      <c r="N71" s="18">
        <f>DATEDIF('Stratégie de Communication'!$C$7,C71,"m")+1</f>
        <v>3</v>
      </c>
    </row>
    <row r="72" spans="1:14" ht="30" customHeight="1" x14ac:dyDescent="0.3">
      <c r="A72" s="33"/>
      <c r="B72" s="19" t="str">
        <f t="shared" si="4"/>
        <v>Jeudi</v>
      </c>
      <c r="C72" s="20">
        <f>'Stratégie de Communication'!$C$7+66</f>
        <v>46303</v>
      </c>
      <c r="D72" s="19" t="str">
        <f t="shared" si="5"/>
        <v>octobre 2026</v>
      </c>
      <c r="E72" s="12"/>
      <c r="F72" s="12"/>
      <c r="G72" s="12"/>
      <c r="H72" s="12"/>
      <c r="I72" s="12"/>
      <c r="J72" s="12"/>
      <c r="K72" s="17"/>
      <c r="L72" s="12"/>
      <c r="M72" s="12" t="s">
        <v>55</v>
      </c>
      <c r="N72" s="18">
        <f>DATEDIF('Stratégie de Communication'!$C$7,C72,"m")+1</f>
        <v>3</v>
      </c>
    </row>
    <row r="73" spans="1:14" ht="30" customHeight="1" x14ac:dyDescent="0.3">
      <c r="A73" s="33"/>
      <c r="B73" s="19" t="str">
        <f t="shared" si="4"/>
        <v>Vendredi</v>
      </c>
      <c r="C73" s="20">
        <f>'Stratégie de Communication'!$C$7+67</f>
        <v>46304</v>
      </c>
      <c r="D73" s="19" t="str">
        <f t="shared" si="5"/>
        <v>octobre 2026</v>
      </c>
      <c r="E73" s="12"/>
      <c r="F73" s="12"/>
      <c r="G73" s="12"/>
      <c r="H73" s="12"/>
      <c r="I73" s="12"/>
      <c r="J73" s="12"/>
      <c r="K73" s="17"/>
      <c r="L73" s="12"/>
      <c r="M73" s="12" t="s">
        <v>55</v>
      </c>
      <c r="N73" s="18">
        <f>DATEDIF('Stratégie de Communication'!$C$7,C73,"m")+1</f>
        <v>3</v>
      </c>
    </row>
    <row r="74" spans="1:14" ht="30" customHeight="1" x14ac:dyDescent="0.3">
      <c r="A74" s="33"/>
      <c r="B74" s="19" t="str">
        <f t="shared" si="4"/>
        <v>Samedi</v>
      </c>
      <c r="C74" s="20">
        <f>'Stratégie de Communication'!$C$7+68</f>
        <v>46305</v>
      </c>
      <c r="D74" s="19" t="str">
        <f t="shared" si="5"/>
        <v>octobre 2026</v>
      </c>
      <c r="E74" s="12"/>
      <c r="F74" s="12"/>
      <c r="G74" s="12"/>
      <c r="H74" s="12"/>
      <c r="I74" s="12"/>
      <c r="J74" s="12"/>
      <c r="K74" s="17"/>
      <c r="L74" s="12"/>
      <c r="M74" s="12" t="s">
        <v>55</v>
      </c>
      <c r="N74" s="18">
        <f>DATEDIF('Stratégie de Communication'!$C$7,C74,"m")+1</f>
        <v>3</v>
      </c>
    </row>
    <row r="75" spans="1:14" ht="30" customHeight="1" x14ac:dyDescent="0.3">
      <c r="A75" s="33"/>
      <c r="B75" s="19" t="str">
        <f t="shared" si="4"/>
        <v>Dimanche</v>
      </c>
      <c r="C75" s="20">
        <f>'Stratégie de Communication'!$C$7+69</f>
        <v>46306</v>
      </c>
      <c r="D75" s="19" t="str">
        <f t="shared" si="5"/>
        <v>octobre 2026</v>
      </c>
      <c r="E75" s="12"/>
      <c r="F75" s="12"/>
      <c r="G75" s="12"/>
      <c r="H75" s="12"/>
      <c r="I75" s="12"/>
      <c r="J75" s="12"/>
      <c r="K75" s="17"/>
      <c r="L75" s="12"/>
      <c r="M75" s="12" t="s">
        <v>55</v>
      </c>
      <c r="N75" s="18">
        <f>DATEDIF('Stratégie de Communication'!$C$7,C75,"m")+1</f>
        <v>3</v>
      </c>
    </row>
    <row r="76" spans="1:14" ht="30" customHeight="1" x14ac:dyDescent="0.3">
      <c r="A76" s="33">
        <v>11</v>
      </c>
      <c r="B76" s="15" t="str">
        <f t="shared" si="4"/>
        <v>Lundi</v>
      </c>
      <c r="C76" s="16">
        <f>'Stratégie de Communication'!$C$7+70</f>
        <v>46307</v>
      </c>
      <c r="D76" s="15" t="str">
        <f t="shared" si="5"/>
        <v>octobre 2026</v>
      </c>
      <c r="E76" s="12"/>
      <c r="F76" s="12"/>
      <c r="G76" s="12"/>
      <c r="H76" s="12"/>
      <c r="I76" s="12"/>
      <c r="J76" s="12"/>
      <c r="K76" s="17"/>
      <c r="L76" s="12"/>
      <c r="M76" s="12" t="s">
        <v>55</v>
      </c>
      <c r="N76" s="18">
        <f>DATEDIF('Stratégie de Communication'!$C$7,C76,"m")+1</f>
        <v>3</v>
      </c>
    </row>
    <row r="77" spans="1:14" ht="30" customHeight="1" x14ac:dyDescent="0.3">
      <c r="A77" s="33"/>
      <c r="B77" s="15" t="str">
        <f t="shared" si="4"/>
        <v>Mardi</v>
      </c>
      <c r="C77" s="16">
        <f>'Stratégie de Communication'!$C$7+71</f>
        <v>46308</v>
      </c>
      <c r="D77" s="15" t="str">
        <f t="shared" si="5"/>
        <v>octobre 2026</v>
      </c>
      <c r="E77" s="12"/>
      <c r="F77" s="12"/>
      <c r="G77" s="12"/>
      <c r="H77" s="12"/>
      <c r="I77" s="12"/>
      <c r="J77" s="12"/>
      <c r="K77" s="17"/>
      <c r="L77" s="12"/>
      <c r="M77" s="12" t="s">
        <v>55</v>
      </c>
      <c r="N77" s="18">
        <f>DATEDIF('Stratégie de Communication'!$C$7,C77,"m")+1</f>
        <v>3</v>
      </c>
    </row>
    <row r="78" spans="1:14" ht="30" customHeight="1" x14ac:dyDescent="0.3">
      <c r="A78" s="33"/>
      <c r="B78" s="15" t="str">
        <f t="shared" si="4"/>
        <v>Mercredi</v>
      </c>
      <c r="C78" s="16">
        <f>'Stratégie de Communication'!$C$7+72</f>
        <v>46309</v>
      </c>
      <c r="D78" s="15" t="str">
        <f t="shared" si="5"/>
        <v>octobre 2026</v>
      </c>
      <c r="E78" s="12"/>
      <c r="F78" s="12"/>
      <c r="G78" s="12"/>
      <c r="H78" s="12"/>
      <c r="I78" s="12"/>
      <c r="J78" s="12"/>
      <c r="K78" s="17"/>
      <c r="L78" s="12"/>
      <c r="M78" s="12" t="s">
        <v>55</v>
      </c>
      <c r="N78" s="18">
        <f>DATEDIF('Stratégie de Communication'!$C$7,C78,"m")+1</f>
        <v>3</v>
      </c>
    </row>
    <row r="79" spans="1:14" ht="30" customHeight="1" x14ac:dyDescent="0.3">
      <c r="A79" s="33"/>
      <c r="B79" s="15" t="str">
        <f t="shared" si="4"/>
        <v>Jeudi</v>
      </c>
      <c r="C79" s="16">
        <f>'Stratégie de Communication'!$C$7+73</f>
        <v>46310</v>
      </c>
      <c r="D79" s="15" t="str">
        <f t="shared" si="5"/>
        <v>octobre 2026</v>
      </c>
      <c r="E79" s="12"/>
      <c r="F79" s="12"/>
      <c r="G79" s="12"/>
      <c r="H79" s="12"/>
      <c r="I79" s="12"/>
      <c r="J79" s="12"/>
      <c r="K79" s="17"/>
      <c r="L79" s="12"/>
      <c r="M79" s="12" t="s">
        <v>55</v>
      </c>
      <c r="N79" s="18">
        <f>DATEDIF('Stratégie de Communication'!$C$7,C79,"m")+1</f>
        <v>3</v>
      </c>
    </row>
    <row r="80" spans="1:14" ht="30" customHeight="1" x14ac:dyDescent="0.3">
      <c r="A80" s="33"/>
      <c r="B80" s="15" t="str">
        <f t="shared" si="4"/>
        <v>Vendredi</v>
      </c>
      <c r="C80" s="16">
        <f>'Stratégie de Communication'!$C$7+74</f>
        <v>46311</v>
      </c>
      <c r="D80" s="15" t="str">
        <f t="shared" si="5"/>
        <v>octobre 2026</v>
      </c>
      <c r="E80" s="12"/>
      <c r="F80" s="12"/>
      <c r="G80" s="12"/>
      <c r="H80" s="12"/>
      <c r="I80" s="12"/>
      <c r="J80" s="12"/>
      <c r="K80" s="17"/>
      <c r="L80" s="12"/>
      <c r="M80" s="12" t="s">
        <v>55</v>
      </c>
      <c r="N80" s="18">
        <f>DATEDIF('Stratégie de Communication'!$C$7,C80,"m")+1</f>
        <v>3</v>
      </c>
    </row>
    <row r="81" spans="1:14" ht="30" customHeight="1" x14ac:dyDescent="0.3">
      <c r="A81" s="33"/>
      <c r="B81" s="15" t="str">
        <f t="shared" si="4"/>
        <v>Samedi</v>
      </c>
      <c r="C81" s="16">
        <f>'Stratégie de Communication'!$C$7+75</f>
        <v>46312</v>
      </c>
      <c r="D81" s="15" t="str">
        <f t="shared" si="5"/>
        <v>octobre 2026</v>
      </c>
      <c r="E81" s="12"/>
      <c r="F81" s="12"/>
      <c r="G81" s="12"/>
      <c r="H81" s="12"/>
      <c r="I81" s="12"/>
      <c r="J81" s="12"/>
      <c r="K81" s="17"/>
      <c r="L81" s="12"/>
      <c r="M81" s="12" t="s">
        <v>55</v>
      </c>
      <c r="N81" s="18">
        <f>DATEDIF('Stratégie de Communication'!$C$7,C81,"m")+1</f>
        <v>3</v>
      </c>
    </row>
    <row r="82" spans="1:14" ht="30" customHeight="1" x14ac:dyDescent="0.3">
      <c r="A82" s="33"/>
      <c r="B82" s="15" t="str">
        <f t="shared" si="4"/>
        <v>Dimanche</v>
      </c>
      <c r="C82" s="16">
        <f>'Stratégie de Communication'!$C$7+76</f>
        <v>46313</v>
      </c>
      <c r="D82" s="15" t="str">
        <f t="shared" si="5"/>
        <v>octobre 2026</v>
      </c>
      <c r="E82" s="12"/>
      <c r="F82" s="12"/>
      <c r="G82" s="12"/>
      <c r="H82" s="12"/>
      <c r="I82" s="12"/>
      <c r="J82" s="12"/>
      <c r="K82" s="17"/>
      <c r="L82" s="12"/>
      <c r="M82" s="12" t="s">
        <v>55</v>
      </c>
      <c r="N82" s="18">
        <f>DATEDIF('Stratégie de Communication'!$C$7,C82,"m")+1</f>
        <v>3</v>
      </c>
    </row>
    <row r="83" spans="1:14" ht="30" customHeight="1" x14ac:dyDescent="0.3">
      <c r="A83" s="33">
        <v>12</v>
      </c>
      <c r="B83" s="19" t="str">
        <f t="shared" si="4"/>
        <v>Lundi</v>
      </c>
      <c r="C83" s="20">
        <f>'Stratégie de Communication'!$C$7+77</f>
        <v>46314</v>
      </c>
      <c r="D83" s="19" t="str">
        <f t="shared" si="5"/>
        <v>octobre 2026</v>
      </c>
      <c r="E83" s="12"/>
      <c r="F83" s="12"/>
      <c r="G83" s="12"/>
      <c r="H83" s="12"/>
      <c r="I83" s="12"/>
      <c r="J83" s="12"/>
      <c r="K83" s="17"/>
      <c r="L83" s="12"/>
      <c r="M83" s="12" t="s">
        <v>55</v>
      </c>
      <c r="N83" s="18">
        <f>DATEDIF('Stratégie de Communication'!$C$7,C83,"m")+1</f>
        <v>3</v>
      </c>
    </row>
    <row r="84" spans="1:14" ht="30" customHeight="1" x14ac:dyDescent="0.3">
      <c r="A84" s="33"/>
      <c r="B84" s="19" t="str">
        <f t="shared" si="4"/>
        <v>Mardi</v>
      </c>
      <c r="C84" s="20">
        <f>'Stratégie de Communication'!$C$7+78</f>
        <v>46315</v>
      </c>
      <c r="D84" s="19" t="str">
        <f t="shared" si="5"/>
        <v>octobre 2026</v>
      </c>
      <c r="E84" s="12"/>
      <c r="F84" s="12"/>
      <c r="G84" s="12"/>
      <c r="H84" s="12"/>
      <c r="I84" s="12"/>
      <c r="J84" s="12"/>
      <c r="K84" s="17"/>
      <c r="L84" s="12"/>
      <c r="M84" s="12" t="s">
        <v>55</v>
      </c>
      <c r="N84" s="18">
        <f>DATEDIF('Stratégie de Communication'!$C$7,C84,"m")+1</f>
        <v>3</v>
      </c>
    </row>
    <row r="85" spans="1:14" ht="30" customHeight="1" x14ac:dyDescent="0.3">
      <c r="A85" s="33"/>
      <c r="B85" s="19" t="str">
        <f t="shared" si="4"/>
        <v>Mercredi</v>
      </c>
      <c r="C85" s="20">
        <f>'Stratégie de Communication'!$C$7+79</f>
        <v>46316</v>
      </c>
      <c r="D85" s="19" t="str">
        <f t="shared" si="5"/>
        <v>octobre 2026</v>
      </c>
      <c r="E85" s="12"/>
      <c r="F85" s="12"/>
      <c r="G85" s="12"/>
      <c r="H85" s="12"/>
      <c r="I85" s="12"/>
      <c r="J85" s="12"/>
      <c r="K85" s="17"/>
      <c r="L85" s="12"/>
      <c r="M85" s="12" t="s">
        <v>55</v>
      </c>
      <c r="N85" s="18">
        <f>DATEDIF('Stratégie de Communication'!$C$7,C85,"m")+1</f>
        <v>3</v>
      </c>
    </row>
    <row r="86" spans="1:14" ht="30" customHeight="1" x14ac:dyDescent="0.3">
      <c r="A86" s="33"/>
      <c r="B86" s="19" t="str">
        <f t="shared" si="4"/>
        <v>Jeudi</v>
      </c>
      <c r="C86" s="20">
        <f>'Stratégie de Communication'!$C$7+80</f>
        <v>46317</v>
      </c>
      <c r="D86" s="19" t="str">
        <f t="shared" si="5"/>
        <v>octobre 2026</v>
      </c>
      <c r="E86" s="12"/>
      <c r="F86" s="12"/>
      <c r="G86" s="12"/>
      <c r="H86" s="12"/>
      <c r="I86" s="12"/>
      <c r="J86" s="12"/>
      <c r="K86" s="17"/>
      <c r="L86" s="12"/>
      <c r="M86" s="12" t="s">
        <v>55</v>
      </c>
      <c r="N86" s="18">
        <f>DATEDIF('Stratégie de Communication'!$C$7,C86,"m")+1</f>
        <v>3</v>
      </c>
    </row>
    <row r="87" spans="1:14" ht="30" customHeight="1" x14ac:dyDescent="0.3">
      <c r="A87" s="33"/>
      <c r="B87" s="19" t="str">
        <f t="shared" si="4"/>
        <v>Vendredi</v>
      </c>
      <c r="C87" s="20">
        <f>'Stratégie de Communication'!$C$7+81</f>
        <v>46318</v>
      </c>
      <c r="D87" s="19" t="str">
        <f t="shared" si="5"/>
        <v>octobre 2026</v>
      </c>
      <c r="E87" s="12"/>
      <c r="F87" s="12"/>
      <c r="G87" s="12"/>
      <c r="H87" s="12"/>
      <c r="I87" s="12"/>
      <c r="J87" s="12"/>
      <c r="K87" s="17"/>
      <c r="L87" s="12"/>
      <c r="M87" s="12" t="s">
        <v>55</v>
      </c>
      <c r="N87" s="18">
        <f>DATEDIF('Stratégie de Communication'!$C$7,C87,"m")+1</f>
        <v>3</v>
      </c>
    </row>
    <row r="88" spans="1:14" ht="30" customHeight="1" x14ac:dyDescent="0.3">
      <c r="A88" s="33"/>
      <c r="B88" s="19" t="str">
        <f t="shared" si="4"/>
        <v>Samedi</v>
      </c>
      <c r="C88" s="20">
        <f>'Stratégie de Communication'!$C$7+82</f>
        <v>46319</v>
      </c>
      <c r="D88" s="19" t="str">
        <f t="shared" si="5"/>
        <v>octobre 2026</v>
      </c>
      <c r="E88" s="12"/>
      <c r="F88" s="12"/>
      <c r="G88" s="12"/>
      <c r="H88" s="12"/>
      <c r="I88" s="12"/>
      <c r="J88" s="12"/>
      <c r="K88" s="17"/>
      <c r="L88" s="12"/>
      <c r="M88" s="12" t="s">
        <v>55</v>
      </c>
      <c r="N88" s="18">
        <f>DATEDIF('Stratégie de Communication'!$C$7,C88,"m")+1</f>
        <v>3</v>
      </c>
    </row>
    <row r="89" spans="1:14" ht="30" customHeight="1" x14ac:dyDescent="0.3">
      <c r="A89" s="33"/>
      <c r="B89" s="19" t="str">
        <f t="shared" si="4"/>
        <v>Dimanche</v>
      </c>
      <c r="C89" s="20">
        <f>'Stratégie de Communication'!$C$7+83</f>
        <v>46320</v>
      </c>
      <c r="D89" s="19" t="str">
        <f t="shared" si="5"/>
        <v>octobre 2026</v>
      </c>
      <c r="E89" s="12"/>
      <c r="F89" s="12"/>
      <c r="G89" s="12"/>
      <c r="H89" s="12"/>
      <c r="I89" s="12"/>
      <c r="J89" s="12"/>
      <c r="K89" s="17"/>
      <c r="L89" s="12"/>
      <c r="M89" s="12" t="s">
        <v>55</v>
      </c>
      <c r="N89" s="18">
        <f>DATEDIF('Stratégie de Communication'!$C$7,C89,"m")+1</f>
        <v>3</v>
      </c>
    </row>
    <row r="90" spans="1:14" ht="30" customHeight="1" x14ac:dyDescent="0.3">
      <c r="A90" s="33">
        <v>13</v>
      </c>
      <c r="B90" s="15" t="str">
        <f t="shared" si="4"/>
        <v>Lundi</v>
      </c>
      <c r="C90" s="16">
        <f>'Stratégie de Communication'!$C$7+84</f>
        <v>46321</v>
      </c>
      <c r="D90" s="15" t="str">
        <f t="shared" si="5"/>
        <v>octobre 2026</v>
      </c>
      <c r="E90" s="12"/>
      <c r="F90" s="12"/>
      <c r="G90" s="12"/>
      <c r="H90" s="12"/>
      <c r="I90" s="12"/>
      <c r="J90" s="12"/>
      <c r="K90" s="17"/>
      <c r="L90" s="12"/>
      <c r="M90" s="12" t="s">
        <v>55</v>
      </c>
      <c r="N90" s="18">
        <f>DATEDIF('Stratégie de Communication'!$C$7,C90,"m")+1</f>
        <v>3</v>
      </c>
    </row>
    <row r="91" spans="1:14" ht="30" customHeight="1" x14ac:dyDescent="0.3">
      <c r="A91" s="33"/>
      <c r="B91" s="15" t="str">
        <f t="shared" si="4"/>
        <v>Mardi</v>
      </c>
      <c r="C91" s="16">
        <f>'Stratégie de Communication'!$C$7+85</f>
        <v>46322</v>
      </c>
      <c r="D91" s="15" t="str">
        <f t="shared" si="5"/>
        <v>octobre 2026</v>
      </c>
      <c r="E91" s="12"/>
      <c r="F91" s="12"/>
      <c r="G91" s="12"/>
      <c r="H91" s="12"/>
      <c r="I91" s="12"/>
      <c r="J91" s="12"/>
      <c r="K91" s="17"/>
      <c r="L91" s="12"/>
      <c r="M91" s="12" t="s">
        <v>55</v>
      </c>
      <c r="N91" s="18">
        <f>DATEDIF('Stratégie de Communication'!$C$7,C91,"m")+1</f>
        <v>3</v>
      </c>
    </row>
    <row r="92" spans="1:14" ht="30" customHeight="1" x14ac:dyDescent="0.3">
      <c r="A92" s="33"/>
      <c r="B92" s="15" t="str">
        <f t="shared" si="4"/>
        <v>Mercredi</v>
      </c>
      <c r="C92" s="16">
        <f>'Stratégie de Communication'!$C$7+86</f>
        <v>46323</v>
      </c>
      <c r="D92" s="15" t="str">
        <f t="shared" si="5"/>
        <v>octobre 2026</v>
      </c>
      <c r="E92" s="12"/>
      <c r="F92" s="12"/>
      <c r="G92" s="12"/>
      <c r="H92" s="12"/>
      <c r="I92" s="12"/>
      <c r="J92" s="12"/>
      <c r="K92" s="17"/>
      <c r="L92" s="12"/>
      <c r="M92" s="12" t="s">
        <v>55</v>
      </c>
      <c r="N92" s="18">
        <f>DATEDIF('Stratégie de Communication'!$C$7,C92,"m")+1</f>
        <v>3</v>
      </c>
    </row>
    <row r="93" spans="1:14" ht="30" customHeight="1" x14ac:dyDescent="0.3">
      <c r="A93" s="33"/>
      <c r="B93" s="15" t="str">
        <f t="shared" si="4"/>
        <v>Jeudi</v>
      </c>
      <c r="C93" s="16">
        <f>'Stratégie de Communication'!$C$7+87</f>
        <v>46324</v>
      </c>
      <c r="D93" s="15" t="str">
        <f t="shared" si="5"/>
        <v>octobre 2026</v>
      </c>
      <c r="E93" s="12"/>
      <c r="F93" s="12"/>
      <c r="G93" s="12"/>
      <c r="H93" s="12"/>
      <c r="I93" s="12"/>
      <c r="J93" s="12"/>
      <c r="K93" s="17"/>
      <c r="L93" s="12"/>
      <c r="M93" s="12" t="s">
        <v>55</v>
      </c>
      <c r="N93" s="18">
        <f>DATEDIF('Stratégie de Communication'!$C$7,C93,"m")+1</f>
        <v>3</v>
      </c>
    </row>
    <row r="94" spans="1:14" ht="30" customHeight="1" x14ac:dyDescent="0.3">
      <c r="A94" s="33"/>
      <c r="B94" s="15" t="str">
        <f t="shared" si="4"/>
        <v>Vendredi</v>
      </c>
      <c r="C94" s="16">
        <f>'Stratégie de Communication'!$C$7+88</f>
        <v>46325</v>
      </c>
      <c r="D94" s="15" t="str">
        <f t="shared" si="5"/>
        <v>octobre 2026</v>
      </c>
      <c r="E94" s="12"/>
      <c r="F94" s="12"/>
      <c r="G94" s="12"/>
      <c r="H94" s="12"/>
      <c r="I94" s="12"/>
      <c r="J94" s="12"/>
      <c r="K94" s="17"/>
      <c r="L94" s="12"/>
      <c r="M94" s="12" t="s">
        <v>55</v>
      </c>
      <c r="N94" s="18">
        <f>DATEDIF('Stratégie de Communication'!$C$7,C94,"m")+1</f>
        <v>3</v>
      </c>
    </row>
    <row r="95" spans="1:14" ht="30" customHeight="1" x14ac:dyDescent="0.3">
      <c r="A95" s="33"/>
      <c r="B95" s="15" t="str">
        <f t="shared" si="4"/>
        <v>Samedi</v>
      </c>
      <c r="C95" s="16">
        <f>'Stratégie de Communication'!$C$7+89</f>
        <v>46326</v>
      </c>
      <c r="D95" s="15" t="str">
        <f t="shared" si="5"/>
        <v>octobre 2026</v>
      </c>
      <c r="E95" s="12"/>
      <c r="F95" s="12"/>
      <c r="G95" s="12"/>
      <c r="H95" s="12"/>
      <c r="I95" s="12"/>
      <c r="J95" s="12"/>
      <c r="K95" s="17"/>
      <c r="L95" s="12"/>
      <c r="M95" s="12" t="s">
        <v>55</v>
      </c>
      <c r="N95" s="18">
        <f>DATEDIF('Stratégie de Communication'!$C$7,C95,"m")+1</f>
        <v>3</v>
      </c>
    </row>
    <row r="96" spans="1:14" ht="30" customHeight="1" x14ac:dyDescent="0.3">
      <c r="A96" s="33"/>
      <c r="B96" s="15" t="str">
        <f t="shared" si="4"/>
        <v>Dimanche</v>
      </c>
      <c r="C96" s="16">
        <f>'Stratégie de Communication'!$C$7+90</f>
        <v>46327</v>
      </c>
      <c r="D96" s="15" t="str">
        <f t="shared" si="5"/>
        <v>novembre 2026</v>
      </c>
      <c r="E96" s="12"/>
      <c r="F96" s="12"/>
      <c r="G96" s="12"/>
      <c r="H96" s="12"/>
      <c r="I96" s="12"/>
      <c r="J96" s="12"/>
      <c r="K96" s="17"/>
      <c r="L96" s="12"/>
      <c r="M96" s="12" t="s">
        <v>55</v>
      </c>
      <c r="N96" s="18">
        <f>DATEDIF('Stratégie de Communication'!$C$7,C96,"m")+1</f>
        <v>3</v>
      </c>
    </row>
    <row r="97" spans="1:14" ht="30" customHeight="1" x14ac:dyDescent="0.3">
      <c r="A97" s="33">
        <v>14</v>
      </c>
      <c r="B97" s="19" t="str">
        <f t="shared" si="4"/>
        <v>Lundi</v>
      </c>
      <c r="C97" s="20">
        <f>'Stratégie de Communication'!$C$7+91</f>
        <v>46328</v>
      </c>
      <c r="D97" s="19" t="str">
        <f t="shared" si="5"/>
        <v>novembre 2026</v>
      </c>
      <c r="E97" s="12"/>
      <c r="F97" s="12"/>
      <c r="G97" s="12"/>
      <c r="H97" s="12"/>
      <c r="I97" s="12"/>
      <c r="J97" s="12"/>
      <c r="K97" s="17"/>
      <c r="L97" s="12"/>
      <c r="M97" s="12" t="s">
        <v>55</v>
      </c>
      <c r="N97" s="18">
        <f>DATEDIF('Stratégie de Communication'!$C$7,C97,"m")+1</f>
        <v>3</v>
      </c>
    </row>
    <row r="98" spans="1:14" ht="30" customHeight="1" x14ac:dyDescent="0.3">
      <c r="A98" s="33"/>
      <c r="B98" s="19" t="str">
        <f t="shared" si="4"/>
        <v>Mardi</v>
      </c>
      <c r="C98" s="20">
        <f>'Stratégie de Communication'!$C$7+92</f>
        <v>46329</v>
      </c>
      <c r="D98" s="19" t="str">
        <f t="shared" si="5"/>
        <v>novembre 2026</v>
      </c>
      <c r="E98" s="12"/>
      <c r="F98" s="12"/>
      <c r="G98" s="12"/>
      <c r="H98" s="12"/>
      <c r="I98" s="12"/>
      <c r="J98" s="12"/>
      <c r="K98" s="17"/>
      <c r="L98" s="12"/>
      <c r="M98" s="12" t="s">
        <v>55</v>
      </c>
      <c r="N98" s="18">
        <f>DATEDIF('Stratégie de Communication'!$C$7,C98,"m")+1</f>
        <v>4</v>
      </c>
    </row>
    <row r="99" spans="1:14" ht="30" customHeight="1" x14ac:dyDescent="0.3">
      <c r="A99" s="33"/>
      <c r="B99" s="19" t="str">
        <f t="shared" si="4"/>
        <v>Mercredi</v>
      </c>
      <c r="C99" s="20">
        <f>'Stratégie de Communication'!$C$7+93</f>
        <v>46330</v>
      </c>
      <c r="D99" s="19" t="str">
        <f t="shared" si="5"/>
        <v>novembre 2026</v>
      </c>
      <c r="E99" s="12"/>
      <c r="F99" s="12"/>
      <c r="G99" s="12"/>
      <c r="H99" s="12"/>
      <c r="I99" s="12"/>
      <c r="J99" s="12"/>
      <c r="K99" s="17"/>
      <c r="L99" s="12"/>
      <c r="M99" s="12" t="s">
        <v>55</v>
      </c>
      <c r="N99" s="18">
        <f>DATEDIF('Stratégie de Communication'!$C$7,C99,"m")+1</f>
        <v>4</v>
      </c>
    </row>
    <row r="100" spans="1:14" ht="30" customHeight="1" x14ac:dyDescent="0.3">
      <c r="A100" s="33"/>
      <c r="B100" s="19" t="str">
        <f t="shared" si="4"/>
        <v>Jeudi</v>
      </c>
      <c r="C100" s="20">
        <f>'Stratégie de Communication'!$C$7+94</f>
        <v>46331</v>
      </c>
      <c r="D100" s="19" t="str">
        <f t="shared" si="5"/>
        <v>novembre 2026</v>
      </c>
      <c r="E100" s="12"/>
      <c r="F100" s="12"/>
      <c r="G100" s="12"/>
      <c r="H100" s="12"/>
      <c r="I100" s="12"/>
      <c r="J100" s="12"/>
      <c r="K100" s="17"/>
      <c r="L100" s="12"/>
      <c r="M100" s="12" t="s">
        <v>55</v>
      </c>
      <c r="N100" s="18">
        <f>DATEDIF('Stratégie de Communication'!$C$7,C100,"m")+1</f>
        <v>4</v>
      </c>
    </row>
    <row r="101" spans="1:14" ht="30" customHeight="1" x14ac:dyDescent="0.3">
      <c r="A101" s="33"/>
      <c r="B101" s="19" t="str">
        <f t="shared" si="4"/>
        <v>Vendredi</v>
      </c>
      <c r="C101" s="20">
        <f>'Stratégie de Communication'!$C$7+95</f>
        <v>46332</v>
      </c>
      <c r="D101" s="19" t="str">
        <f t="shared" si="5"/>
        <v>novembre 2026</v>
      </c>
      <c r="E101" s="12"/>
      <c r="F101" s="12"/>
      <c r="G101" s="12"/>
      <c r="H101" s="12"/>
      <c r="I101" s="12"/>
      <c r="J101" s="12"/>
      <c r="K101" s="17"/>
      <c r="L101" s="12"/>
      <c r="M101" s="12" t="s">
        <v>55</v>
      </c>
      <c r="N101" s="18">
        <f>DATEDIF('Stratégie de Communication'!$C$7,C101,"m")+1</f>
        <v>4</v>
      </c>
    </row>
    <row r="102" spans="1:14" ht="30" customHeight="1" x14ac:dyDescent="0.3">
      <c r="A102" s="33"/>
      <c r="B102" s="19" t="str">
        <f t="shared" ref="B102:B133" si="6">CHOOSE(WEEKDAY(C102,2),"Lundi","Mardi","Mercredi","Jeudi","Vendredi","Samedi","Dimanche")</f>
        <v>Samedi</v>
      </c>
      <c r="C102" s="20">
        <f>'Stratégie de Communication'!$C$7+96</f>
        <v>46333</v>
      </c>
      <c r="D102" s="19" t="str">
        <f t="shared" ref="D102:D133" si="7">CHOOSE(MONTH(C102),"janvier","février","mars","avril","mai","juin","juillet","août","septembre","octobre","novembre","décembre")&amp;" "&amp;YEAR(C102)</f>
        <v>novembre 2026</v>
      </c>
      <c r="E102" s="12"/>
      <c r="F102" s="12"/>
      <c r="G102" s="12"/>
      <c r="H102" s="12"/>
      <c r="I102" s="12"/>
      <c r="J102" s="12"/>
      <c r="K102" s="17"/>
      <c r="L102" s="12"/>
      <c r="M102" s="12" t="s">
        <v>55</v>
      </c>
      <c r="N102" s="18">
        <f>DATEDIF('Stratégie de Communication'!$C$7,C102,"m")+1</f>
        <v>4</v>
      </c>
    </row>
    <row r="103" spans="1:14" ht="30" customHeight="1" x14ac:dyDescent="0.3">
      <c r="A103" s="33"/>
      <c r="B103" s="19" t="str">
        <f t="shared" si="6"/>
        <v>Dimanche</v>
      </c>
      <c r="C103" s="20">
        <f>'Stratégie de Communication'!$C$7+97</f>
        <v>46334</v>
      </c>
      <c r="D103" s="19" t="str">
        <f t="shared" si="7"/>
        <v>novembre 2026</v>
      </c>
      <c r="E103" s="12"/>
      <c r="F103" s="12"/>
      <c r="G103" s="12"/>
      <c r="H103" s="12"/>
      <c r="I103" s="12"/>
      <c r="J103" s="12"/>
      <c r="K103" s="17"/>
      <c r="L103" s="12"/>
      <c r="M103" s="12" t="s">
        <v>55</v>
      </c>
      <c r="N103" s="18">
        <f>DATEDIF('Stratégie de Communication'!$C$7,C103,"m")+1</f>
        <v>4</v>
      </c>
    </row>
    <row r="104" spans="1:14" ht="30" customHeight="1" x14ac:dyDescent="0.3">
      <c r="A104" s="33">
        <v>15</v>
      </c>
      <c r="B104" s="15" t="str">
        <f t="shared" si="6"/>
        <v>Lundi</v>
      </c>
      <c r="C104" s="16">
        <f>'Stratégie de Communication'!$C$7+98</f>
        <v>46335</v>
      </c>
      <c r="D104" s="15" t="str">
        <f t="shared" si="7"/>
        <v>novembre 2026</v>
      </c>
      <c r="E104" s="12"/>
      <c r="F104" s="12"/>
      <c r="G104" s="12"/>
      <c r="H104" s="12"/>
      <c r="I104" s="12"/>
      <c r="J104" s="12"/>
      <c r="K104" s="17"/>
      <c r="L104" s="12"/>
      <c r="M104" s="12" t="s">
        <v>55</v>
      </c>
      <c r="N104" s="18">
        <f>DATEDIF('Stratégie de Communication'!$C$7,C104,"m")+1</f>
        <v>4</v>
      </c>
    </row>
    <row r="105" spans="1:14" ht="30" customHeight="1" x14ac:dyDescent="0.3">
      <c r="A105" s="33"/>
      <c r="B105" s="15" t="str">
        <f t="shared" si="6"/>
        <v>Mardi</v>
      </c>
      <c r="C105" s="16">
        <f>'Stratégie de Communication'!$C$7+99</f>
        <v>46336</v>
      </c>
      <c r="D105" s="15" t="str">
        <f t="shared" si="7"/>
        <v>novembre 2026</v>
      </c>
      <c r="E105" s="12"/>
      <c r="F105" s="12"/>
      <c r="G105" s="12"/>
      <c r="H105" s="12"/>
      <c r="I105" s="12"/>
      <c r="J105" s="12"/>
      <c r="K105" s="17"/>
      <c r="L105" s="12"/>
      <c r="M105" s="12" t="s">
        <v>55</v>
      </c>
      <c r="N105" s="18">
        <f>DATEDIF('Stratégie de Communication'!$C$7,C105,"m")+1</f>
        <v>4</v>
      </c>
    </row>
    <row r="106" spans="1:14" ht="30" customHeight="1" x14ac:dyDescent="0.3">
      <c r="A106" s="33"/>
      <c r="B106" s="15" t="str">
        <f t="shared" si="6"/>
        <v>Mercredi</v>
      </c>
      <c r="C106" s="16">
        <f>'Stratégie de Communication'!$C$7+100</f>
        <v>46337</v>
      </c>
      <c r="D106" s="15" t="str">
        <f t="shared" si="7"/>
        <v>novembre 2026</v>
      </c>
      <c r="E106" s="12"/>
      <c r="F106" s="12"/>
      <c r="G106" s="12"/>
      <c r="H106" s="12"/>
      <c r="I106" s="12"/>
      <c r="J106" s="12"/>
      <c r="K106" s="17"/>
      <c r="L106" s="12"/>
      <c r="M106" s="12" t="s">
        <v>55</v>
      </c>
      <c r="N106" s="18">
        <f>DATEDIF('Stratégie de Communication'!$C$7,C106,"m")+1</f>
        <v>4</v>
      </c>
    </row>
    <row r="107" spans="1:14" ht="30" customHeight="1" x14ac:dyDescent="0.3">
      <c r="A107" s="33"/>
      <c r="B107" s="15" t="str">
        <f t="shared" si="6"/>
        <v>Jeudi</v>
      </c>
      <c r="C107" s="16">
        <f>'Stratégie de Communication'!$C$7+101</f>
        <v>46338</v>
      </c>
      <c r="D107" s="15" t="str">
        <f t="shared" si="7"/>
        <v>novembre 2026</v>
      </c>
      <c r="E107" s="12"/>
      <c r="F107" s="12"/>
      <c r="G107" s="12"/>
      <c r="H107" s="12"/>
      <c r="I107" s="12"/>
      <c r="J107" s="12"/>
      <c r="K107" s="17"/>
      <c r="L107" s="12"/>
      <c r="M107" s="12" t="s">
        <v>55</v>
      </c>
      <c r="N107" s="18">
        <f>DATEDIF('Stratégie de Communication'!$C$7,C107,"m")+1</f>
        <v>4</v>
      </c>
    </row>
    <row r="108" spans="1:14" ht="30" customHeight="1" x14ac:dyDescent="0.3">
      <c r="A108" s="33"/>
      <c r="B108" s="15" t="str">
        <f t="shared" si="6"/>
        <v>Vendredi</v>
      </c>
      <c r="C108" s="16">
        <f>'Stratégie de Communication'!$C$7+102</f>
        <v>46339</v>
      </c>
      <c r="D108" s="15" t="str">
        <f t="shared" si="7"/>
        <v>novembre 2026</v>
      </c>
      <c r="E108" s="12"/>
      <c r="F108" s="12"/>
      <c r="G108" s="12"/>
      <c r="H108" s="12"/>
      <c r="I108" s="12"/>
      <c r="J108" s="12"/>
      <c r="K108" s="17"/>
      <c r="L108" s="12"/>
      <c r="M108" s="12" t="s">
        <v>55</v>
      </c>
      <c r="N108" s="18">
        <f>DATEDIF('Stratégie de Communication'!$C$7,C108,"m")+1</f>
        <v>4</v>
      </c>
    </row>
    <row r="109" spans="1:14" ht="30" customHeight="1" x14ac:dyDescent="0.3">
      <c r="A109" s="33"/>
      <c r="B109" s="15" t="str">
        <f t="shared" si="6"/>
        <v>Samedi</v>
      </c>
      <c r="C109" s="16">
        <f>'Stratégie de Communication'!$C$7+103</f>
        <v>46340</v>
      </c>
      <c r="D109" s="15" t="str">
        <f t="shared" si="7"/>
        <v>novembre 2026</v>
      </c>
      <c r="E109" s="12"/>
      <c r="F109" s="12"/>
      <c r="G109" s="12"/>
      <c r="H109" s="12"/>
      <c r="I109" s="12"/>
      <c r="J109" s="12"/>
      <c r="K109" s="17"/>
      <c r="L109" s="12"/>
      <c r="M109" s="12" t="s">
        <v>55</v>
      </c>
      <c r="N109" s="18">
        <f>DATEDIF('Stratégie de Communication'!$C$7,C109,"m")+1</f>
        <v>4</v>
      </c>
    </row>
    <row r="110" spans="1:14" ht="30" customHeight="1" x14ac:dyDescent="0.3">
      <c r="A110" s="33"/>
      <c r="B110" s="15" t="str">
        <f t="shared" si="6"/>
        <v>Dimanche</v>
      </c>
      <c r="C110" s="16">
        <f>'Stratégie de Communication'!$C$7+104</f>
        <v>46341</v>
      </c>
      <c r="D110" s="15" t="str">
        <f t="shared" si="7"/>
        <v>novembre 2026</v>
      </c>
      <c r="E110" s="12"/>
      <c r="F110" s="12"/>
      <c r="G110" s="12"/>
      <c r="H110" s="12"/>
      <c r="I110" s="12"/>
      <c r="J110" s="12"/>
      <c r="K110" s="17"/>
      <c r="L110" s="12"/>
      <c r="M110" s="12" t="s">
        <v>55</v>
      </c>
      <c r="N110" s="18">
        <f>DATEDIF('Stratégie de Communication'!$C$7,C110,"m")+1</f>
        <v>4</v>
      </c>
    </row>
    <row r="111" spans="1:14" ht="30" customHeight="1" x14ac:dyDescent="0.3">
      <c r="A111" s="33">
        <v>16</v>
      </c>
      <c r="B111" s="19" t="str">
        <f t="shared" si="6"/>
        <v>Lundi</v>
      </c>
      <c r="C111" s="20">
        <f>'Stratégie de Communication'!$C$7+105</f>
        <v>46342</v>
      </c>
      <c r="D111" s="19" t="str">
        <f t="shared" si="7"/>
        <v>novembre 2026</v>
      </c>
      <c r="E111" s="12"/>
      <c r="F111" s="12"/>
      <c r="G111" s="12"/>
      <c r="H111" s="12"/>
      <c r="I111" s="12"/>
      <c r="J111" s="12"/>
      <c r="K111" s="17"/>
      <c r="L111" s="12"/>
      <c r="M111" s="12" t="s">
        <v>55</v>
      </c>
      <c r="N111" s="18">
        <f>DATEDIF('Stratégie de Communication'!$C$7,C111,"m")+1</f>
        <v>4</v>
      </c>
    </row>
    <row r="112" spans="1:14" ht="30" customHeight="1" x14ac:dyDescent="0.3">
      <c r="A112" s="33"/>
      <c r="B112" s="19" t="str">
        <f t="shared" si="6"/>
        <v>Mardi</v>
      </c>
      <c r="C112" s="20">
        <f>'Stratégie de Communication'!$C$7+106</f>
        <v>46343</v>
      </c>
      <c r="D112" s="19" t="str">
        <f t="shared" si="7"/>
        <v>novembre 2026</v>
      </c>
      <c r="E112" s="12"/>
      <c r="F112" s="12"/>
      <c r="G112" s="12"/>
      <c r="H112" s="12"/>
      <c r="I112" s="12"/>
      <c r="J112" s="12"/>
      <c r="K112" s="17"/>
      <c r="L112" s="12"/>
      <c r="M112" s="12" t="s">
        <v>55</v>
      </c>
      <c r="N112" s="18">
        <f>DATEDIF('Stratégie de Communication'!$C$7,C112,"m")+1</f>
        <v>4</v>
      </c>
    </row>
    <row r="113" spans="1:14" ht="30" customHeight="1" x14ac:dyDescent="0.3">
      <c r="A113" s="33"/>
      <c r="B113" s="19" t="str">
        <f t="shared" si="6"/>
        <v>Mercredi</v>
      </c>
      <c r="C113" s="20">
        <f>'Stratégie de Communication'!$C$7+107</f>
        <v>46344</v>
      </c>
      <c r="D113" s="19" t="str">
        <f t="shared" si="7"/>
        <v>novembre 2026</v>
      </c>
      <c r="E113" s="12"/>
      <c r="F113" s="12"/>
      <c r="G113" s="12"/>
      <c r="H113" s="12"/>
      <c r="I113" s="12"/>
      <c r="J113" s="12"/>
      <c r="K113" s="17"/>
      <c r="L113" s="12"/>
      <c r="M113" s="12" t="s">
        <v>55</v>
      </c>
      <c r="N113" s="18">
        <f>DATEDIF('Stratégie de Communication'!$C$7,C113,"m")+1</f>
        <v>4</v>
      </c>
    </row>
    <row r="114" spans="1:14" ht="30" customHeight="1" x14ac:dyDescent="0.3">
      <c r="A114" s="33"/>
      <c r="B114" s="19" t="str">
        <f t="shared" si="6"/>
        <v>Jeudi</v>
      </c>
      <c r="C114" s="20">
        <f>'Stratégie de Communication'!$C$7+108</f>
        <v>46345</v>
      </c>
      <c r="D114" s="19" t="str">
        <f t="shared" si="7"/>
        <v>novembre 2026</v>
      </c>
      <c r="E114" s="12"/>
      <c r="F114" s="12"/>
      <c r="G114" s="12"/>
      <c r="H114" s="12"/>
      <c r="I114" s="12"/>
      <c r="J114" s="12"/>
      <c r="K114" s="17"/>
      <c r="L114" s="12"/>
      <c r="M114" s="12" t="s">
        <v>55</v>
      </c>
      <c r="N114" s="18">
        <f>DATEDIF('Stratégie de Communication'!$C$7,C114,"m")+1</f>
        <v>4</v>
      </c>
    </row>
    <row r="115" spans="1:14" ht="30" customHeight="1" x14ac:dyDescent="0.3">
      <c r="A115" s="33"/>
      <c r="B115" s="19" t="str">
        <f t="shared" si="6"/>
        <v>Vendredi</v>
      </c>
      <c r="C115" s="20">
        <f>'Stratégie de Communication'!$C$7+109</f>
        <v>46346</v>
      </c>
      <c r="D115" s="19" t="str">
        <f t="shared" si="7"/>
        <v>novembre 2026</v>
      </c>
      <c r="E115" s="12"/>
      <c r="F115" s="12"/>
      <c r="G115" s="12"/>
      <c r="H115" s="12"/>
      <c r="I115" s="12"/>
      <c r="J115" s="12"/>
      <c r="K115" s="17"/>
      <c r="L115" s="12"/>
      <c r="M115" s="12" t="s">
        <v>55</v>
      </c>
      <c r="N115" s="18">
        <f>DATEDIF('Stratégie de Communication'!$C$7,C115,"m")+1</f>
        <v>4</v>
      </c>
    </row>
    <row r="116" spans="1:14" ht="30" customHeight="1" x14ac:dyDescent="0.3">
      <c r="A116" s="33"/>
      <c r="B116" s="19" t="str">
        <f t="shared" si="6"/>
        <v>Samedi</v>
      </c>
      <c r="C116" s="20">
        <f>'Stratégie de Communication'!$C$7+110</f>
        <v>46347</v>
      </c>
      <c r="D116" s="19" t="str">
        <f t="shared" si="7"/>
        <v>novembre 2026</v>
      </c>
      <c r="E116" s="12"/>
      <c r="F116" s="12"/>
      <c r="G116" s="12"/>
      <c r="H116" s="12"/>
      <c r="I116" s="12"/>
      <c r="J116" s="12"/>
      <c r="K116" s="17"/>
      <c r="L116" s="12"/>
      <c r="M116" s="12" t="s">
        <v>55</v>
      </c>
      <c r="N116" s="18">
        <f>DATEDIF('Stratégie de Communication'!$C$7,C116,"m")+1</f>
        <v>4</v>
      </c>
    </row>
    <row r="117" spans="1:14" ht="30" customHeight="1" x14ac:dyDescent="0.3">
      <c r="A117" s="33"/>
      <c r="B117" s="19" t="str">
        <f t="shared" si="6"/>
        <v>Dimanche</v>
      </c>
      <c r="C117" s="20">
        <f>'Stratégie de Communication'!$C$7+111</f>
        <v>46348</v>
      </c>
      <c r="D117" s="19" t="str">
        <f t="shared" si="7"/>
        <v>novembre 2026</v>
      </c>
      <c r="E117" s="12"/>
      <c r="F117" s="12"/>
      <c r="G117" s="12"/>
      <c r="H117" s="12"/>
      <c r="I117" s="12"/>
      <c r="J117" s="12"/>
      <c r="K117" s="17"/>
      <c r="L117" s="12"/>
      <c r="M117" s="12" t="s">
        <v>55</v>
      </c>
      <c r="N117" s="18">
        <f>DATEDIF('Stratégie de Communication'!$C$7,C117,"m")+1</f>
        <v>4</v>
      </c>
    </row>
    <row r="118" spans="1:14" ht="30" customHeight="1" x14ac:dyDescent="0.3">
      <c r="A118" s="33">
        <v>17</v>
      </c>
      <c r="B118" s="15" t="str">
        <f t="shared" si="6"/>
        <v>Lundi</v>
      </c>
      <c r="C118" s="16">
        <f>'Stratégie de Communication'!$C$7+112</f>
        <v>46349</v>
      </c>
      <c r="D118" s="15" t="str">
        <f t="shared" si="7"/>
        <v>novembre 2026</v>
      </c>
      <c r="E118" s="12"/>
      <c r="F118" s="12"/>
      <c r="G118" s="12"/>
      <c r="H118" s="12"/>
      <c r="I118" s="12"/>
      <c r="J118" s="12"/>
      <c r="K118" s="17"/>
      <c r="L118" s="12"/>
      <c r="M118" s="12" t="s">
        <v>55</v>
      </c>
      <c r="N118" s="18">
        <f>DATEDIF('Stratégie de Communication'!$C$7,C118,"m")+1</f>
        <v>4</v>
      </c>
    </row>
    <row r="119" spans="1:14" ht="30" customHeight="1" x14ac:dyDescent="0.3">
      <c r="A119" s="33"/>
      <c r="B119" s="15" t="str">
        <f t="shared" si="6"/>
        <v>Mardi</v>
      </c>
      <c r="C119" s="16">
        <f>'Stratégie de Communication'!$C$7+113</f>
        <v>46350</v>
      </c>
      <c r="D119" s="15" t="str">
        <f t="shared" si="7"/>
        <v>novembre 2026</v>
      </c>
      <c r="E119" s="12"/>
      <c r="F119" s="12"/>
      <c r="G119" s="12"/>
      <c r="H119" s="12"/>
      <c r="I119" s="12"/>
      <c r="J119" s="12"/>
      <c r="K119" s="17"/>
      <c r="L119" s="12"/>
      <c r="M119" s="12" t="s">
        <v>55</v>
      </c>
      <c r="N119" s="18">
        <f>DATEDIF('Stratégie de Communication'!$C$7,C119,"m")+1</f>
        <v>4</v>
      </c>
    </row>
    <row r="120" spans="1:14" ht="30" customHeight="1" x14ac:dyDescent="0.3">
      <c r="A120" s="33"/>
      <c r="B120" s="15" t="str">
        <f t="shared" si="6"/>
        <v>Mercredi</v>
      </c>
      <c r="C120" s="16">
        <f>'Stratégie de Communication'!$C$7+114</f>
        <v>46351</v>
      </c>
      <c r="D120" s="15" t="str">
        <f t="shared" si="7"/>
        <v>novembre 2026</v>
      </c>
      <c r="E120" s="12"/>
      <c r="F120" s="12"/>
      <c r="G120" s="12"/>
      <c r="H120" s="12"/>
      <c r="I120" s="12"/>
      <c r="J120" s="12"/>
      <c r="K120" s="17"/>
      <c r="L120" s="12"/>
      <c r="M120" s="12" t="s">
        <v>55</v>
      </c>
      <c r="N120" s="18">
        <f>DATEDIF('Stratégie de Communication'!$C$7,C120,"m")+1</f>
        <v>4</v>
      </c>
    </row>
    <row r="121" spans="1:14" ht="30" customHeight="1" x14ac:dyDescent="0.3">
      <c r="A121" s="33"/>
      <c r="B121" s="15" t="str">
        <f t="shared" si="6"/>
        <v>Jeudi</v>
      </c>
      <c r="C121" s="16">
        <f>'Stratégie de Communication'!$C$7+115</f>
        <v>46352</v>
      </c>
      <c r="D121" s="15" t="str">
        <f t="shared" si="7"/>
        <v>novembre 2026</v>
      </c>
      <c r="E121" s="12"/>
      <c r="F121" s="12"/>
      <c r="G121" s="12"/>
      <c r="H121" s="12"/>
      <c r="I121" s="12"/>
      <c r="J121" s="12"/>
      <c r="K121" s="17"/>
      <c r="L121" s="12"/>
      <c r="M121" s="12" t="s">
        <v>55</v>
      </c>
      <c r="N121" s="18">
        <f>DATEDIF('Stratégie de Communication'!$C$7,C121,"m")+1</f>
        <v>4</v>
      </c>
    </row>
    <row r="122" spans="1:14" ht="30" customHeight="1" x14ac:dyDescent="0.3">
      <c r="A122" s="33"/>
      <c r="B122" s="15" t="str">
        <f t="shared" si="6"/>
        <v>Vendredi</v>
      </c>
      <c r="C122" s="16">
        <f>'Stratégie de Communication'!$C$7+116</f>
        <v>46353</v>
      </c>
      <c r="D122" s="15" t="str">
        <f t="shared" si="7"/>
        <v>novembre 2026</v>
      </c>
      <c r="E122" s="12"/>
      <c r="F122" s="12"/>
      <c r="G122" s="12"/>
      <c r="H122" s="12"/>
      <c r="I122" s="12"/>
      <c r="J122" s="12"/>
      <c r="K122" s="17"/>
      <c r="L122" s="12"/>
      <c r="M122" s="12" t="s">
        <v>55</v>
      </c>
      <c r="N122" s="18">
        <f>DATEDIF('Stratégie de Communication'!$C$7,C122,"m")+1</f>
        <v>4</v>
      </c>
    </row>
    <row r="123" spans="1:14" ht="30" customHeight="1" x14ac:dyDescent="0.3">
      <c r="A123" s="33"/>
      <c r="B123" s="15" t="str">
        <f t="shared" si="6"/>
        <v>Samedi</v>
      </c>
      <c r="C123" s="16">
        <f>'Stratégie de Communication'!$C$7+117</f>
        <v>46354</v>
      </c>
      <c r="D123" s="15" t="str">
        <f t="shared" si="7"/>
        <v>novembre 2026</v>
      </c>
      <c r="E123" s="12"/>
      <c r="F123" s="12"/>
      <c r="G123" s="12"/>
      <c r="H123" s="12"/>
      <c r="I123" s="12"/>
      <c r="J123" s="12"/>
      <c r="K123" s="17"/>
      <c r="L123" s="12"/>
      <c r="M123" s="12" t="s">
        <v>55</v>
      </c>
      <c r="N123" s="18">
        <f>DATEDIF('Stratégie de Communication'!$C$7,C123,"m")+1</f>
        <v>4</v>
      </c>
    </row>
    <row r="124" spans="1:14" ht="30" customHeight="1" x14ac:dyDescent="0.3">
      <c r="A124" s="33"/>
      <c r="B124" s="15" t="str">
        <f t="shared" si="6"/>
        <v>Dimanche</v>
      </c>
      <c r="C124" s="16">
        <f>'Stratégie de Communication'!$C$7+118</f>
        <v>46355</v>
      </c>
      <c r="D124" s="15" t="str">
        <f t="shared" si="7"/>
        <v>novembre 2026</v>
      </c>
      <c r="E124" s="12"/>
      <c r="F124" s="12"/>
      <c r="G124" s="12"/>
      <c r="H124" s="12"/>
      <c r="I124" s="12"/>
      <c r="J124" s="12"/>
      <c r="K124" s="17"/>
      <c r="L124" s="12"/>
      <c r="M124" s="12" t="s">
        <v>55</v>
      </c>
      <c r="N124" s="18">
        <f>DATEDIF('Stratégie de Communication'!$C$7,C124,"m")+1</f>
        <v>4</v>
      </c>
    </row>
    <row r="125" spans="1:14" ht="30" customHeight="1" x14ac:dyDescent="0.3">
      <c r="A125" s="33">
        <v>18</v>
      </c>
      <c r="B125" s="19" t="str">
        <f t="shared" si="6"/>
        <v>Lundi</v>
      </c>
      <c r="C125" s="20">
        <f>'Stratégie de Communication'!$C$7+119</f>
        <v>46356</v>
      </c>
      <c r="D125" s="19" t="str">
        <f t="shared" si="7"/>
        <v>novembre 2026</v>
      </c>
      <c r="E125" s="12"/>
      <c r="F125" s="12"/>
      <c r="G125" s="12"/>
      <c r="H125" s="12"/>
      <c r="I125" s="12"/>
      <c r="J125" s="12"/>
      <c r="K125" s="17"/>
      <c r="L125" s="12"/>
      <c r="M125" s="12" t="s">
        <v>55</v>
      </c>
      <c r="N125" s="18">
        <f>DATEDIF('Stratégie de Communication'!$C$7,C125,"m")+1</f>
        <v>4</v>
      </c>
    </row>
    <row r="126" spans="1:14" ht="30" customHeight="1" x14ac:dyDescent="0.3">
      <c r="A126" s="33"/>
      <c r="B126" s="19" t="str">
        <f t="shared" si="6"/>
        <v>Mardi</v>
      </c>
      <c r="C126" s="20">
        <f>'Stratégie de Communication'!$C$7+120</f>
        <v>46357</v>
      </c>
      <c r="D126" s="19" t="str">
        <f t="shared" si="7"/>
        <v>décembre 2026</v>
      </c>
      <c r="E126" s="12"/>
      <c r="F126" s="12"/>
      <c r="G126" s="12"/>
      <c r="H126" s="12"/>
      <c r="I126" s="12"/>
      <c r="J126" s="12"/>
      <c r="K126" s="17"/>
      <c r="L126" s="12"/>
      <c r="M126" s="12" t="s">
        <v>55</v>
      </c>
      <c r="N126" s="18">
        <f>DATEDIF('Stratégie de Communication'!$C$7,C126,"m")+1</f>
        <v>4</v>
      </c>
    </row>
    <row r="127" spans="1:14" ht="30" customHeight="1" x14ac:dyDescent="0.3">
      <c r="A127" s="33"/>
      <c r="B127" s="19" t="str">
        <f t="shared" si="6"/>
        <v>Mercredi</v>
      </c>
      <c r="C127" s="20">
        <f>'Stratégie de Communication'!$C$7+121</f>
        <v>46358</v>
      </c>
      <c r="D127" s="19" t="str">
        <f t="shared" si="7"/>
        <v>décembre 2026</v>
      </c>
      <c r="E127" s="12"/>
      <c r="F127" s="12"/>
      <c r="G127" s="12"/>
      <c r="H127" s="12"/>
      <c r="I127" s="12"/>
      <c r="J127" s="12"/>
      <c r="K127" s="17"/>
      <c r="L127" s="12"/>
      <c r="M127" s="12" t="s">
        <v>55</v>
      </c>
      <c r="N127" s="18">
        <f>DATEDIF('Stratégie de Communication'!$C$7,C127,"m")+1</f>
        <v>4</v>
      </c>
    </row>
    <row r="128" spans="1:14" ht="30" customHeight="1" x14ac:dyDescent="0.3">
      <c r="A128" s="33"/>
      <c r="B128" s="19" t="str">
        <f t="shared" si="6"/>
        <v>Jeudi</v>
      </c>
      <c r="C128" s="20">
        <f>'Stratégie de Communication'!$C$7+122</f>
        <v>46359</v>
      </c>
      <c r="D128" s="19" t="str">
        <f t="shared" si="7"/>
        <v>décembre 2026</v>
      </c>
      <c r="E128" s="12"/>
      <c r="F128" s="12"/>
      <c r="G128" s="12"/>
      <c r="H128" s="12"/>
      <c r="I128" s="12"/>
      <c r="J128" s="12"/>
      <c r="K128" s="17"/>
      <c r="L128" s="12"/>
      <c r="M128" s="12" t="s">
        <v>55</v>
      </c>
      <c r="N128" s="18">
        <f>DATEDIF('Stratégie de Communication'!$C$7,C128,"m")+1</f>
        <v>5</v>
      </c>
    </row>
    <row r="129" spans="1:14" ht="30" customHeight="1" x14ac:dyDescent="0.3">
      <c r="A129" s="33"/>
      <c r="B129" s="19" t="str">
        <f t="shared" si="6"/>
        <v>Vendredi</v>
      </c>
      <c r="C129" s="20">
        <f>'Stratégie de Communication'!$C$7+123</f>
        <v>46360</v>
      </c>
      <c r="D129" s="19" t="str">
        <f t="shared" si="7"/>
        <v>décembre 2026</v>
      </c>
      <c r="E129" s="12"/>
      <c r="F129" s="12"/>
      <c r="G129" s="12"/>
      <c r="H129" s="12"/>
      <c r="I129" s="12"/>
      <c r="J129" s="12"/>
      <c r="K129" s="17"/>
      <c r="L129" s="12"/>
      <c r="M129" s="12" t="s">
        <v>55</v>
      </c>
      <c r="N129" s="18">
        <f>DATEDIF('Stratégie de Communication'!$C$7,C129,"m")+1</f>
        <v>5</v>
      </c>
    </row>
    <row r="130" spans="1:14" ht="30" customHeight="1" x14ac:dyDescent="0.3">
      <c r="A130" s="33"/>
      <c r="B130" s="19" t="str">
        <f t="shared" si="6"/>
        <v>Samedi</v>
      </c>
      <c r="C130" s="20">
        <f>'Stratégie de Communication'!$C$7+124</f>
        <v>46361</v>
      </c>
      <c r="D130" s="19" t="str">
        <f t="shared" si="7"/>
        <v>décembre 2026</v>
      </c>
      <c r="E130" s="12"/>
      <c r="F130" s="12"/>
      <c r="G130" s="12"/>
      <c r="H130" s="12"/>
      <c r="I130" s="12"/>
      <c r="J130" s="12"/>
      <c r="K130" s="17"/>
      <c r="L130" s="12"/>
      <c r="M130" s="12" t="s">
        <v>55</v>
      </c>
      <c r="N130" s="18">
        <f>DATEDIF('Stratégie de Communication'!$C$7,C130,"m")+1</f>
        <v>5</v>
      </c>
    </row>
    <row r="131" spans="1:14" ht="30" customHeight="1" x14ac:dyDescent="0.3">
      <c r="A131" s="33"/>
      <c r="B131" s="19" t="str">
        <f t="shared" si="6"/>
        <v>Dimanche</v>
      </c>
      <c r="C131" s="20">
        <f>'Stratégie de Communication'!$C$7+125</f>
        <v>46362</v>
      </c>
      <c r="D131" s="19" t="str">
        <f t="shared" si="7"/>
        <v>décembre 2026</v>
      </c>
      <c r="E131" s="12"/>
      <c r="F131" s="12"/>
      <c r="G131" s="12"/>
      <c r="H131" s="12"/>
      <c r="I131" s="12"/>
      <c r="J131" s="12"/>
      <c r="K131" s="17"/>
      <c r="L131" s="12"/>
      <c r="M131" s="12" t="s">
        <v>55</v>
      </c>
      <c r="N131" s="18">
        <f>DATEDIF('Stratégie de Communication'!$C$7,C131,"m")+1</f>
        <v>5</v>
      </c>
    </row>
    <row r="132" spans="1:14" ht="30" customHeight="1" x14ac:dyDescent="0.3">
      <c r="A132" s="33">
        <v>19</v>
      </c>
      <c r="B132" s="15" t="str">
        <f t="shared" si="6"/>
        <v>Lundi</v>
      </c>
      <c r="C132" s="16">
        <f>'Stratégie de Communication'!$C$7+126</f>
        <v>46363</v>
      </c>
      <c r="D132" s="15" t="str">
        <f t="shared" si="7"/>
        <v>décembre 2026</v>
      </c>
      <c r="E132" s="12"/>
      <c r="F132" s="12"/>
      <c r="G132" s="12"/>
      <c r="H132" s="12"/>
      <c r="I132" s="12"/>
      <c r="J132" s="12"/>
      <c r="K132" s="17"/>
      <c r="L132" s="12"/>
      <c r="M132" s="12" t="s">
        <v>55</v>
      </c>
      <c r="N132" s="18">
        <f>DATEDIF('Stratégie de Communication'!$C$7,C132,"m")+1</f>
        <v>5</v>
      </c>
    </row>
    <row r="133" spans="1:14" ht="30" customHeight="1" x14ac:dyDescent="0.3">
      <c r="A133" s="33"/>
      <c r="B133" s="15" t="str">
        <f t="shared" si="6"/>
        <v>Mardi</v>
      </c>
      <c r="C133" s="16">
        <f>'Stratégie de Communication'!$C$7+127</f>
        <v>46364</v>
      </c>
      <c r="D133" s="15" t="str">
        <f t="shared" si="7"/>
        <v>décembre 2026</v>
      </c>
      <c r="E133" s="12"/>
      <c r="F133" s="12"/>
      <c r="G133" s="12"/>
      <c r="H133" s="12"/>
      <c r="I133" s="12"/>
      <c r="J133" s="12"/>
      <c r="K133" s="17"/>
      <c r="L133" s="12"/>
      <c r="M133" s="12" t="s">
        <v>55</v>
      </c>
      <c r="N133" s="18">
        <f>DATEDIF('Stratégie de Communication'!$C$7,C133,"m")+1</f>
        <v>5</v>
      </c>
    </row>
    <row r="134" spans="1:14" ht="30" customHeight="1" x14ac:dyDescent="0.3">
      <c r="A134" s="33"/>
      <c r="B134" s="15" t="str">
        <f t="shared" ref="B134:B165" si="8">CHOOSE(WEEKDAY(C134,2),"Lundi","Mardi","Mercredi","Jeudi","Vendredi","Samedi","Dimanche")</f>
        <v>Mercredi</v>
      </c>
      <c r="C134" s="16">
        <f>'Stratégie de Communication'!$C$7+128</f>
        <v>46365</v>
      </c>
      <c r="D134" s="15" t="str">
        <f t="shared" ref="D134:D165" si="9">CHOOSE(MONTH(C134),"janvier","février","mars","avril","mai","juin","juillet","août","septembre","octobre","novembre","décembre")&amp;" "&amp;YEAR(C134)</f>
        <v>décembre 2026</v>
      </c>
      <c r="E134" s="12"/>
      <c r="F134" s="12"/>
      <c r="G134" s="12"/>
      <c r="H134" s="12"/>
      <c r="I134" s="12"/>
      <c r="J134" s="12"/>
      <c r="K134" s="17"/>
      <c r="L134" s="12"/>
      <c r="M134" s="12" t="s">
        <v>55</v>
      </c>
      <c r="N134" s="18">
        <f>DATEDIF('Stratégie de Communication'!$C$7,C134,"m")+1</f>
        <v>5</v>
      </c>
    </row>
    <row r="135" spans="1:14" ht="30" customHeight="1" x14ac:dyDescent="0.3">
      <c r="A135" s="33"/>
      <c r="B135" s="15" t="str">
        <f t="shared" si="8"/>
        <v>Jeudi</v>
      </c>
      <c r="C135" s="16">
        <f>'Stratégie de Communication'!$C$7+129</f>
        <v>46366</v>
      </c>
      <c r="D135" s="15" t="str">
        <f t="shared" si="9"/>
        <v>décembre 2026</v>
      </c>
      <c r="E135" s="12"/>
      <c r="F135" s="12"/>
      <c r="G135" s="12"/>
      <c r="H135" s="12"/>
      <c r="I135" s="12"/>
      <c r="J135" s="12"/>
      <c r="K135" s="17"/>
      <c r="L135" s="12"/>
      <c r="M135" s="12" t="s">
        <v>55</v>
      </c>
      <c r="N135" s="18">
        <f>DATEDIF('Stratégie de Communication'!$C$7,C135,"m")+1</f>
        <v>5</v>
      </c>
    </row>
    <row r="136" spans="1:14" ht="30" customHeight="1" x14ac:dyDescent="0.3">
      <c r="A136" s="33"/>
      <c r="B136" s="15" t="str">
        <f t="shared" si="8"/>
        <v>Vendredi</v>
      </c>
      <c r="C136" s="16">
        <f>'Stratégie de Communication'!$C$7+130</f>
        <v>46367</v>
      </c>
      <c r="D136" s="15" t="str">
        <f t="shared" si="9"/>
        <v>décembre 2026</v>
      </c>
      <c r="E136" s="12"/>
      <c r="F136" s="12"/>
      <c r="G136" s="12"/>
      <c r="H136" s="12"/>
      <c r="I136" s="12"/>
      <c r="J136" s="12"/>
      <c r="K136" s="17"/>
      <c r="L136" s="12"/>
      <c r="M136" s="12" t="s">
        <v>55</v>
      </c>
      <c r="N136" s="18">
        <f>DATEDIF('Stratégie de Communication'!$C$7,C136,"m")+1</f>
        <v>5</v>
      </c>
    </row>
    <row r="137" spans="1:14" ht="30" customHeight="1" x14ac:dyDescent="0.3">
      <c r="A137" s="33"/>
      <c r="B137" s="15" t="str">
        <f t="shared" si="8"/>
        <v>Samedi</v>
      </c>
      <c r="C137" s="16">
        <f>'Stratégie de Communication'!$C$7+131</f>
        <v>46368</v>
      </c>
      <c r="D137" s="15" t="str">
        <f t="shared" si="9"/>
        <v>décembre 2026</v>
      </c>
      <c r="E137" s="12"/>
      <c r="F137" s="12"/>
      <c r="G137" s="12"/>
      <c r="H137" s="12"/>
      <c r="I137" s="12"/>
      <c r="J137" s="12"/>
      <c r="K137" s="17"/>
      <c r="L137" s="12"/>
      <c r="M137" s="12" t="s">
        <v>55</v>
      </c>
      <c r="N137" s="18">
        <f>DATEDIF('Stratégie de Communication'!$C$7,C137,"m")+1</f>
        <v>5</v>
      </c>
    </row>
    <row r="138" spans="1:14" ht="30" customHeight="1" x14ac:dyDescent="0.3">
      <c r="A138" s="33"/>
      <c r="B138" s="15" t="str">
        <f t="shared" si="8"/>
        <v>Dimanche</v>
      </c>
      <c r="C138" s="16">
        <f>'Stratégie de Communication'!$C$7+132</f>
        <v>46369</v>
      </c>
      <c r="D138" s="15" t="str">
        <f t="shared" si="9"/>
        <v>décembre 2026</v>
      </c>
      <c r="E138" s="12"/>
      <c r="F138" s="12"/>
      <c r="G138" s="12"/>
      <c r="H138" s="12"/>
      <c r="I138" s="12"/>
      <c r="J138" s="12"/>
      <c r="K138" s="17"/>
      <c r="L138" s="12"/>
      <c r="M138" s="12" t="s">
        <v>55</v>
      </c>
      <c r="N138" s="18">
        <f>DATEDIF('Stratégie de Communication'!$C$7,C138,"m")+1</f>
        <v>5</v>
      </c>
    </row>
    <row r="139" spans="1:14" ht="30" customHeight="1" x14ac:dyDescent="0.3">
      <c r="A139" s="33">
        <v>20</v>
      </c>
      <c r="B139" s="19" t="str">
        <f t="shared" si="8"/>
        <v>Lundi</v>
      </c>
      <c r="C139" s="20">
        <f>'Stratégie de Communication'!$C$7+133</f>
        <v>46370</v>
      </c>
      <c r="D139" s="19" t="str">
        <f t="shared" si="9"/>
        <v>décembre 2026</v>
      </c>
      <c r="E139" s="12"/>
      <c r="F139" s="12"/>
      <c r="G139" s="12"/>
      <c r="H139" s="12"/>
      <c r="I139" s="12"/>
      <c r="J139" s="12"/>
      <c r="K139" s="17"/>
      <c r="L139" s="12"/>
      <c r="M139" s="12" t="s">
        <v>55</v>
      </c>
      <c r="N139" s="18">
        <f>DATEDIF('Stratégie de Communication'!$C$7,C139,"m")+1</f>
        <v>5</v>
      </c>
    </row>
    <row r="140" spans="1:14" ht="30" customHeight="1" x14ac:dyDescent="0.3">
      <c r="A140" s="33"/>
      <c r="B140" s="19" t="str">
        <f t="shared" si="8"/>
        <v>Mardi</v>
      </c>
      <c r="C140" s="20">
        <f>'Stratégie de Communication'!$C$7+134</f>
        <v>46371</v>
      </c>
      <c r="D140" s="19" t="str">
        <f t="shared" si="9"/>
        <v>décembre 2026</v>
      </c>
      <c r="E140" s="12"/>
      <c r="F140" s="12"/>
      <c r="G140" s="12"/>
      <c r="H140" s="12"/>
      <c r="I140" s="12"/>
      <c r="J140" s="12"/>
      <c r="K140" s="17"/>
      <c r="L140" s="12"/>
      <c r="M140" s="12" t="s">
        <v>55</v>
      </c>
      <c r="N140" s="18">
        <f>DATEDIF('Stratégie de Communication'!$C$7,C140,"m")+1</f>
        <v>5</v>
      </c>
    </row>
    <row r="141" spans="1:14" ht="30" customHeight="1" x14ac:dyDescent="0.3">
      <c r="A141" s="33"/>
      <c r="B141" s="19" t="str">
        <f t="shared" si="8"/>
        <v>Mercredi</v>
      </c>
      <c r="C141" s="20">
        <f>'Stratégie de Communication'!$C$7+135</f>
        <v>46372</v>
      </c>
      <c r="D141" s="19" t="str">
        <f t="shared" si="9"/>
        <v>décembre 2026</v>
      </c>
      <c r="E141" s="12"/>
      <c r="F141" s="12"/>
      <c r="G141" s="12"/>
      <c r="H141" s="12"/>
      <c r="I141" s="12"/>
      <c r="J141" s="12"/>
      <c r="K141" s="17"/>
      <c r="L141" s="12"/>
      <c r="M141" s="12" t="s">
        <v>55</v>
      </c>
      <c r="N141" s="18">
        <f>DATEDIF('Stratégie de Communication'!$C$7,C141,"m")+1</f>
        <v>5</v>
      </c>
    </row>
    <row r="142" spans="1:14" ht="30" customHeight="1" x14ac:dyDescent="0.3">
      <c r="A142" s="33"/>
      <c r="B142" s="19" t="str">
        <f t="shared" si="8"/>
        <v>Jeudi</v>
      </c>
      <c r="C142" s="20">
        <f>'Stratégie de Communication'!$C$7+136</f>
        <v>46373</v>
      </c>
      <c r="D142" s="19" t="str">
        <f t="shared" si="9"/>
        <v>décembre 2026</v>
      </c>
      <c r="E142" s="12"/>
      <c r="F142" s="12"/>
      <c r="G142" s="12"/>
      <c r="H142" s="12"/>
      <c r="I142" s="12"/>
      <c r="J142" s="12"/>
      <c r="K142" s="17"/>
      <c r="L142" s="12"/>
      <c r="M142" s="12" t="s">
        <v>55</v>
      </c>
      <c r="N142" s="18">
        <f>DATEDIF('Stratégie de Communication'!$C$7,C142,"m")+1</f>
        <v>5</v>
      </c>
    </row>
    <row r="143" spans="1:14" ht="30" customHeight="1" x14ac:dyDescent="0.3">
      <c r="A143" s="33"/>
      <c r="B143" s="19" t="str">
        <f t="shared" si="8"/>
        <v>Vendredi</v>
      </c>
      <c r="C143" s="20">
        <f>'Stratégie de Communication'!$C$7+137</f>
        <v>46374</v>
      </c>
      <c r="D143" s="19" t="str">
        <f t="shared" si="9"/>
        <v>décembre 2026</v>
      </c>
      <c r="E143" s="12"/>
      <c r="F143" s="12"/>
      <c r="G143" s="12"/>
      <c r="H143" s="12"/>
      <c r="I143" s="12"/>
      <c r="J143" s="12"/>
      <c r="K143" s="17"/>
      <c r="L143" s="12"/>
      <c r="M143" s="12" t="s">
        <v>55</v>
      </c>
      <c r="N143" s="18">
        <f>DATEDIF('Stratégie de Communication'!$C$7,C143,"m")+1</f>
        <v>5</v>
      </c>
    </row>
    <row r="144" spans="1:14" ht="30" customHeight="1" x14ac:dyDescent="0.3">
      <c r="A144" s="33"/>
      <c r="B144" s="19" t="str">
        <f t="shared" si="8"/>
        <v>Samedi</v>
      </c>
      <c r="C144" s="20">
        <f>'Stratégie de Communication'!$C$7+138</f>
        <v>46375</v>
      </c>
      <c r="D144" s="19" t="str">
        <f t="shared" si="9"/>
        <v>décembre 2026</v>
      </c>
      <c r="E144" s="12"/>
      <c r="F144" s="12"/>
      <c r="G144" s="12"/>
      <c r="H144" s="12"/>
      <c r="I144" s="12"/>
      <c r="J144" s="12"/>
      <c r="K144" s="17"/>
      <c r="L144" s="12"/>
      <c r="M144" s="12" t="s">
        <v>55</v>
      </c>
      <c r="N144" s="18">
        <f>DATEDIF('Stratégie de Communication'!$C$7,C144,"m")+1</f>
        <v>5</v>
      </c>
    </row>
    <row r="145" spans="1:14" ht="30" customHeight="1" x14ac:dyDescent="0.3">
      <c r="A145" s="33"/>
      <c r="B145" s="19" t="str">
        <f t="shared" si="8"/>
        <v>Dimanche</v>
      </c>
      <c r="C145" s="20">
        <f>'Stratégie de Communication'!$C$7+139</f>
        <v>46376</v>
      </c>
      <c r="D145" s="19" t="str">
        <f t="shared" si="9"/>
        <v>décembre 2026</v>
      </c>
      <c r="E145" s="12"/>
      <c r="F145" s="12"/>
      <c r="G145" s="12"/>
      <c r="H145" s="12"/>
      <c r="I145" s="12"/>
      <c r="J145" s="12"/>
      <c r="K145" s="17"/>
      <c r="L145" s="12"/>
      <c r="M145" s="12" t="s">
        <v>55</v>
      </c>
      <c r="N145" s="18">
        <f>DATEDIF('Stratégie de Communication'!$C$7,C145,"m")+1</f>
        <v>5</v>
      </c>
    </row>
    <row r="146" spans="1:14" ht="30" customHeight="1" x14ac:dyDescent="0.3">
      <c r="A146" s="33">
        <v>21</v>
      </c>
      <c r="B146" s="15" t="str">
        <f t="shared" si="8"/>
        <v>Lundi</v>
      </c>
      <c r="C146" s="16">
        <f>'Stratégie de Communication'!$C$7+140</f>
        <v>46377</v>
      </c>
      <c r="D146" s="15" t="str">
        <f t="shared" si="9"/>
        <v>décembre 2026</v>
      </c>
      <c r="E146" s="12"/>
      <c r="F146" s="12"/>
      <c r="G146" s="12"/>
      <c r="H146" s="12"/>
      <c r="I146" s="12"/>
      <c r="J146" s="12"/>
      <c r="K146" s="17"/>
      <c r="L146" s="12"/>
      <c r="M146" s="12" t="s">
        <v>55</v>
      </c>
      <c r="N146" s="18">
        <f>DATEDIF('Stratégie de Communication'!$C$7,C146,"m")+1</f>
        <v>5</v>
      </c>
    </row>
    <row r="147" spans="1:14" ht="30" customHeight="1" x14ac:dyDescent="0.3">
      <c r="A147" s="33"/>
      <c r="B147" s="15" t="str">
        <f t="shared" si="8"/>
        <v>Mardi</v>
      </c>
      <c r="C147" s="16">
        <f>'Stratégie de Communication'!$C$7+141</f>
        <v>46378</v>
      </c>
      <c r="D147" s="15" t="str">
        <f t="shared" si="9"/>
        <v>décembre 2026</v>
      </c>
      <c r="E147" s="12"/>
      <c r="F147" s="12"/>
      <c r="G147" s="12"/>
      <c r="H147" s="12"/>
      <c r="I147" s="12"/>
      <c r="J147" s="12"/>
      <c r="K147" s="17"/>
      <c r="L147" s="12"/>
      <c r="M147" s="12" t="s">
        <v>55</v>
      </c>
      <c r="N147" s="18">
        <f>DATEDIF('Stratégie de Communication'!$C$7,C147,"m")+1</f>
        <v>5</v>
      </c>
    </row>
    <row r="148" spans="1:14" ht="30" customHeight="1" x14ac:dyDescent="0.3">
      <c r="A148" s="33"/>
      <c r="B148" s="15" t="str">
        <f t="shared" si="8"/>
        <v>Mercredi</v>
      </c>
      <c r="C148" s="16">
        <f>'Stratégie de Communication'!$C$7+142</f>
        <v>46379</v>
      </c>
      <c r="D148" s="15" t="str">
        <f t="shared" si="9"/>
        <v>décembre 2026</v>
      </c>
      <c r="E148" s="12"/>
      <c r="F148" s="12"/>
      <c r="G148" s="12"/>
      <c r="H148" s="12"/>
      <c r="I148" s="12"/>
      <c r="J148" s="12"/>
      <c r="K148" s="17"/>
      <c r="L148" s="12"/>
      <c r="M148" s="12" t="s">
        <v>55</v>
      </c>
      <c r="N148" s="18">
        <f>DATEDIF('Stratégie de Communication'!$C$7,C148,"m")+1</f>
        <v>5</v>
      </c>
    </row>
    <row r="149" spans="1:14" ht="30" customHeight="1" x14ac:dyDescent="0.3">
      <c r="A149" s="33"/>
      <c r="B149" s="15" t="str">
        <f t="shared" si="8"/>
        <v>Jeudi</v>
      </c>
      <c r="C149" s="16">
        <f>'Stratégie de Communication'!$C$7+143</f>
        <v>46380</v>
      </c>
      <c r="D149" s="15" t="str">
        <f t="shared" si="9"/>
        <v>décembre 2026</v>
      </c>
      <c r="E149" s="12"/>
      <c r="F149" s="12"/>
      <c r="G149" s="12"/>
      <c r="H149" s="12"/>
      <c r="I149" s="12"/>
      <c r="J149" s="12"/>
      <c r="K149" s="17"/>
      <c r="L149" s="12"/>
      <c r="M149" s="12" t="s">
        <v>55</v>
      </c>
      <c r="N149" s="18">
        <f>DATEDIF('Stratégie de Communication'!$C$7,C149,"m")+1</f>
        <v>5</v>
      </c>
    </row>
    <row r="150" spans="1:14" ht="30" customHeight="1" x14ac:dyDescent="0.3">
      <c r="A150" s="33"/>
      <c r="B150" s="15" t="str">
        <f t="shared" si="8"/>
        <v>Vendredi</v>
      </c>
      <c r="C150" s="16">
        <f>'Stratégie de Communication'!$C$7+144</f>
        <v>46381</v>
      </c>
      <c r="D150" s="15" t="str">
        <f t="shared" si="9"/>
        <v>décembre 2026</v>
      </c>
      <c r="E150" s="12"/>
      <c r="F150" s="12"/>
      <c r="G150" s="12"/>
      <c r="H150" s="12"/>
      <c r="I150" s="12"/>
      <c r="J150" s="12"/>
      <c r="K150" s="17"/>
      <c r="L150" s="12"/>
      <c r="M150" s="12" t="s">
        <v>55</v>
      </c>
      <c r="N150" s="18">
        <f>DATEDIF('Stratégie de Communication'!$C$7,C150,"m")+1</f>
        <v>5</v>
      </c>
    </row>
    <row r="151" spans="1:14" ht="30" customHeight="1" x14ac:dyDescent="0.3">
      <c r="A151" s="33"/>
      <c r="B151" s="15" t="str">
        <f t="shared" si="8"/>
        <v>Samedi</v>
      </c>
      <c r="C151" s="16">
        <f>'Stratégie de Communication'!$C$7+145</f>
        <v>46382</v>
      </c>
      <c r="D151" s="15" t="str">
        <f t="shared" si="9"/>
        <v>décembre 2026</v>
      </c>
      <c r="E151" s="12"/>
      <c r="F151" s="12"/>
      <c r="G151" s="12"/>
      <c r="H151" s="12"/>
      <c r="I151" s="12"/>
      <c r="J151" s="12"/>
      <c r="K151" s="17"/>
      <c r="L151" s="12"/>
      <c r="M151" s="12" t="s">
        <v>55</v>
      </c>
      <c r="N151" s="18">
        <f>DATEDIF('Stratégie de Communication'!$C$7,C151,"m")+1</f>
        <v>5</v>
      </c>
    </row>
    <row r="152" spans="1:14" ht="30" customHeight="1" x14ac:dyDescent="0.3">
      <c r="A152" s="33"/>
      <c r="B152" s="15" t="str">
        <f t="shared" si="8"/>
        <v>Dimanche</v>
      </c>
      <c r="C152" s="16">
        <f>'Stratégie de Communication'!$C$7+146</f>
        <v>46383</v>
      </c>
      <c r="D152" s="15" t="str">
        <f t="shared" si="9"/>
        <v>décembre 2026</v>
      </c>
      <c r="E152" s="12"/>
      <c r="F152" s="12"/>
      <c r="G152" s="12"/>
      <c r="H152" s="12"/>
      <c r="I152" s="12"/>
      <c r="J152" s="12"/>
      <c r="K152" s="17"/>
      <c r="L152" s="12"/>
      <c r="M152" s="12" t="s">
        <v>55</v>
      </c>
      <c r="N152" s="18">
        <f>DATEDIF('Stratégie de Communication'!$C$7,C152,"m")+1</f>
        <v>5</v>
      </c>
    </row>
    <row r="153" spans="1:14" ht="30" customHeight="1" x14ac:dyDescent="0.3">
      <c r="A153" s="33">
        <v>22</v>
      </c>
      <c r="B153" s="19" t="str">
        <f t="shared" si="8"/>
        <v>Lundi</v>
      </c>
      <c r="C153" s="20">
        <f>'Stratégie de Communication'!$C$7+147</f>
        <v>46384</v>
      </c>
      <c r="D153" s="19" t="str">
        <f t="shared" si="9"/>
        <v>décembre 2026</v>
      </c>
      <c r="E153" s="12"/>
      <c r="F153" s="12"/>
      <c r="G153" s="12"/>
      <c r="H153" s="12"/>
      <c r="I153" s="12"/>
      <c r="J153" s="12"/>
      <c r="K153" s="17"/>
      <c r="L153" s="12"/>
      <c r="M153" s="12" t="s">
        <v>55</v>
      </c>
      <c r="N153" s="18">
        <f>DATEDIF('Stratégie de Communication'!$C$7,C153,"m")+1</f>
        <v>5</v>
      </c>
    </row>
    <row r="154" spans="1:14" ht="30" customHeight="1" x14ac:dyDescent="0.3">
      <c r="A154" s="33"/>
      <c r="B154" s="19" t="str">
        <f t="shared" si="8"/>
        <v>Mardi</v>
      </c>
      <c r="C154" s="20">
        <f>'Stratégie de Communication'!$C$7+148</f>
        <v>46385</v>
      </c>
      <c r="D154" s="19" t="str">
        <f t="shared" si="9"/>
        <v>décembre 2026</v>
      </c>
      <c r="E154" s="12"/>
      <c r="F154" s="12"/>
      <c r="G154" s="12"/>
      <c r="H154" s="12"/>
      <c r="I154" s="12"/>
      <c r="J154" s="12"/>
      <c r="K154" s="17"/>
      <c r="L154" s="12"/>
      <c r="M154" s="12" t="s">
        <v>55</v>
      </c>
      <c r="N154" s="18">
        <f>DATEDIF('Stratégie de Communication'!$C$7,C154,"m")+1</f>
        <v>5</v>
      </c>
    </row>
    <row r="155" spans="1:14" ht="30" customHeight="1" x14ac:dyDescent="0.3">
      <c r="A155" s="33"/>
      <c r="B155" s="19" t="str">
        <f t="shared" si="8"/>
        <v>Mercredi</v>
      </c>
      <c r="C155" s="20">
        <f>'Stratégie de Communication'!$C$7+149</f>
        <v>46386</v>
      </c>
      <c r="D155" s="19" t="str">
        <f t="shared" si="9"/>
        <v>décembre 2026</v>
      </c>
      <c r="E155" s="12"/>
      <c r="F155" s="12"/>
      <c r="G155" s="12"/>
      <c r="H155" s="12"/>
      <c r="I155" s="12"/>
      <c r="J155" s="12"/>
      <c r="K155" s="17"/>
      <c r="L155" s="12"/>
      <c r="M155" s="12" t="s">
        <v>55</v>
      </c>
      <c r="N155" s="18">
        <f>DATEDIF('Stratégie de Communication'!$C$7,C155,"m")+1</f>
        <v>5</v>
      </c>
    </row>
    <row r="156" spans="1:14" ht="30" customHeight="1" x14ac:dyDescent="0.3">
      <c r="A156" s="33"/>
      <c r="B156" s="19" t="str">
        <f t="shared" si="8"/>
        <v>Jeudi</v>
      </c>
      <c r="C156" s="20">
        <f>'Stratégie de Communication'!$C$7+150</f>
        <v>46387</v>
      </c>
      <c r="D156" s="19" t="str">
        <f t="shared" si="9"/>
        <v>décembre 2026</v>
      </c>
      <c r="E156" s="12"/>
      <c r="F156" s="12"/>
      <c r="G156" s="12"/>
      <c r="H156" s="12"/>
      <c r="I156" s="12"/>
      <c r="J156" s="12"/>
      <c r="K156" s="17"/>
      <c r="L156" s="12"/>
      <c r="M156" s="12" t="s">
        <v>55</v>
      </c>
      <c r="N156" s="18">
        <f>DATEDIF('Stratégie de Communication'!$C$7,C156,"m")+1</f>
        <v>5</v>
      </c>
    </row>
    <row r="157" spans="1:14" ht="30" customHeight="1" x14ac:dyDescent="0.3">
      <c r="A157" s="33"/>
      <c r="B157" s="19" t="str">
        <f t="shared" si="8"/>
        <v>Vendredi</v>
      </c>
      <c r="C157" s="20">
        <f>'Stratégie de Communication'!$C$7+151</f>
        <v>46388</v>
      </c>
      <c r="D157" s="19" t="str">
        <f t="shared" si="9"/>
        <v>janvier 2027</v>
      </c>
      <c r="E157" s="12"/>
      <c r="F157" s="12"/>
      <c r="G157" s="12"/>
      <c r="H157" s="12"/>
      <c r="I157" s="12"/>
      <c r="J157" s="12"/>
      <c r="K157" s="17"/>
      <c r="L157" s="12"/>
      <c r="M157" s="12" t="s">
        <v>55</v>
      </c>
      <c r="N157" s="18">
        <f>DATEDIF('Stratégie de Communication'!$C$7,C157,"m")+1</f>
        <v>5</v>
      </c>
    </row>
    <row r="158" spans="1:14" ht="30" customHeight="1" x14ac:dyDescent="0.3">
      <c r="A158" s="33"/>
      <c r="B158" s="19" t="str">
        <f t="shared" si="8"/>
        <v>Samedi</v>
      </c>
      <c r="C158" s="20">
        <f>'Stratégie de Communication'!$C$7+152</f>
        <v>46389</v>
      </c>
      <c r="D158" s="19" t="str">
        <f t="shared" si="9"/>
        <v>janvier 2027</v>
      </c>
      <c r="E158" s="12"/>
      <c r="F158" s="12"/>
      <c r="G158" s="12"/>
      <c r="H158" s="12"/>
      <c r="I158" s="12"/>
      <c r="J158" s="12"/>
      <c r="K158" s="17"/>
      <c r="L158" s="12"/>
      <c r="M158" s="12" t="s">
        <v>55</v>
      </c>
      <c r="N158" s="18">
        <f>DATEDIF('Stratégie de Communication'!$C$7,C158,"m")+1</f>
        <v>5</v>
      </c>
    </row>
    <row r="159" spans="1:14" ht="30" customHeight="1" x14ac:dyDescent="0.3">
      <c r="A159" s="33"/>
      <c r="B159" s="19" t="str">
        <f t="shared" si="8"/>
        <v>Dimanche</v>
      </c>
      <c r="C159" s="20">
        <f>'Stratégie de Communication'!$C$7+153</f>
        <v>46390</v>
      </c>
      <c r="D159" s="19" t="str">
        <f t="shared" si="9"/>
        <v>janvier 2027</v>
      </c>
      <c r="E159" s="12"/>
      <c r="F159" s="12"/>
      <c r="G159" s="12"/>
      <c r="H159" s="12"/>
      <c r="I159" s="12"/>
      <c r="J159" s="12"/>
      <c r="K159" s="17"/>
      <c r="L159" s="12"/>
      <c r="M159" s="12" t="s">
        <v>55</v>
      </c>
      <c r="N159" s="18">
        <f>DATEDIF('Stratégie de Communication'!$C$7,C159,"m")+1</f>
        <v>6</v>
      </c>
    </row>
    <row r="160" spans="1:14" ht="30" customHeight="1" x14ac:dyDescent="0.3">
      <c r="A160" s="33">
        <v>23</v>
      </c>
      <c r="B160" s="15" t="str">
        <f t="shared" si="8"/>
        <v>Lundi</v>
      </c>
      <c r="C160" s="16">
        <f>'Stratégie de Communication'!$C$7+154</f>
        <v>46391</v>
      </c>
      <c r="D160" s="15" t="str">
        <f t="shared" si="9"/>
        <v>janvier 2027</v>
      </c>
      <c r="E160" s="12"/>
      <c r="F160" s="12"/>
      <c r="G160" s="12"/>
      <c r="H160" s="12"/>
      <c r="I160" s="12"/>
      <c r="J160" s="12"/>
      <c r="K160" s="17"/>
      <c r="L160" s="12"/>
      <c r="M160" s="12" t="s">
        <v>55</v>
      </c>
      <c r="N160" s="18">
        <f>DATEDIF('Stratégie de Communication'!$C$7,C160,"m")+1</f>
        <v>6</v>
      </c>
    </row>
    <row r="161" spans="1:14" ht="30" customHeight="1" x14ac:dyDescent="0.3">
      <c r="A161" s="33"/>
      <c r="B161" s="15" t="str">
        <f t="shared" si="8"/>
        <v>Mardi</v>
      </c>
      <c r="C161" s="16">
        <f>'Stratégie de Communication'!$C$7+155</f>
        <v>46392</v>
      </c>
      <c r="D161" s="15" t="str">
        <f t="shared" si="9"/>
        <v>janvier 2027</v>
      </c>
      <c r="E161" s="12"/>
      <c r="F161" s="12"/>
      <c r="G161" s="12"/>
      <c r="H161" s="12"/>
      <c r="I161" s="12"/>
      <c r="J161" s="12"/>
      <c r="K161" s="17"/>
      <c r="L161" s="12"/>
      <c r="M161" s="12" t="s">
        <v>55</v>
      </c>
      <c r="N161" s="18">
        <f>DATEDIF('Stratégie de Communication'!$C$7,C161,"m")+1</f>
        <v>6</v>
      </c>
    </row>
    <row r="162" spans="1:14" ht="30" customHeight="1" x14ac:dyDescent="0.3">
      <c r="A162" s="33"/>
      <c r="B162" s="15" t="str">
        <f t="shared" si="8"/>
        <v>Mercredi</v>
      </c>
      <c r="C162" s="16">
        <f>'Stratégie de Communication'!$C$7+156</f>
        <v>46393</v>
      </c>
      <c r="D162" s="15" t="str">
        <f t="shared" si="9"/>
        <v>janvier 2027</v>
      </c>
      <c r="E162" s="12"/>
      <c r="F162" s="12"/>
      <c r="G162" s="12"/>
      <c r="H162" s="12"/>
      <c r="I162" s="12"/>
      <c r="J162" s="12"/>
      <c r="K162" s="17"/>
      <c r="L162" s="12"/>
      <c r="M162" s="12" t="s">
        <v>55</v>
      </c>
      <c r="N162" s="18">
        <f>DATEDIF('Stratégie de Communication'!$C$7,C162,"m")+1</f>
        <v>6</v>
      </c>
    </row>
    <row r="163" spans="1:14" ht="30" customHeight="1" x14ac:dyDescent="0.3">
      <c r="A163" s="33"/>
      <c r="B163" s="15" t="str">
        <f t="shared" si="8"/>
        <v>Jeudi</v>
      </c>
      <c r="C163" s="16">
        <f>'Stratégie de Communication'!$C$7+157</f>
        <v>46394</v>
      </c>
      <c r="D163" s="15" t="str">
        <f t="shared" si="9"/>
        <v>janvier 2027</v>
      </c>
      <c r="E163" s="12"/>
      <c r="F163" s="12"/>
      <c r="G163" s="12"/>
      <c r="H163" s="12"/>
      <c r="I163" s="12"/>
      <c r="J163" s="12"/>
      <c r="K163" s="17"/>
      <c r="L163" s="12"/>
      <c r="M163" s="12" t="s">
        <v>55</v>
      </c>
      <c r="N163" s="18">
        <f>DATEDIF('Stratégie de Communication'!$C$7,C163,"m")+1</f>
        <v>6</v>
      </c>
    </row>
    <row r="164" spans="1:14" ht="30" customHeight="1" x14ac:dyDescent="0.3">
      <c r="A164" s="33"/>
      <c r="B164" s="15" t="str">
        <f t="shared" si="8"/>
        <v>Vendredi</v>
      </c>
      <c r="C164" s="16">
        <f>'Stratégie de Communication'!$C$7+158</f>
        <v>46395</v>
      </c>
      <c r="D164" s="15" t="str">
        <f t="shared" si="9"/>
        <v>janvier 2027</v>
      </c>
      <c r="E164" s="12"/>
      <c r="F164" s="12"/>
      <c r="G164" s="12"/>
      <c r="H164" s="12"/>
      <c r="I164" s="12"/>
      <c r="J164" s="12"/>
      <c r="K164" s="17"/>
      <c r="L164" s="12"/>
      <c r="M164" s="12" t="s">
        <v>55</v>
      </c>
      <c r="N164" s="18">
        <f>DATEDIF('Stratégie de Communication'!$C$7,C164,"m")+1</f>
        <v>6</v>
      </c>
    </row>
    <row r="165" spans="1:14" ht="30" customHeight="1" x14ac:dyDescent="0.3">
      <c r="A165" s="33"/>
      <c r="B165" s="15" t="str">
        <f t="shared" si="8"/>
        <v>Samedi</v>
      </c>
      <c r="C165" s="16">
        <f>'Stratégie de Communication'!$C$7+159</f>
        <v>46396</v>
      </c>
      <c r="D165" s="15" t="str">
        <f t="shared" si="9"/>
        <v>janvier 2027</v>
      </c>
      <c r="E165" s="12"/>
      <c r="F165" s="12"/>
      <c r="G165" s="12"/>
      <c r="H165" s="12"/>
      <c r="I165" s="12"/>
      <c r="J165" s="12"/>
      <c r="K165" s="17"/>
      <c r="L165" s="12"/>
      <c r="M165" s="12" t="s">
        <v>55</v>
      </c>
      <c r="N165" s="18">
        <f>DATEDIF('Stratégie de Communication'!$C$7,C165,"m")+1</f>
        <v>6</v>
      </c>
    </row>
    <row r="166" spans="1:14" ht="30" customHeight="1" x14ac:dyDescent="0.3">
      <c r="A166" s="33"/>
      <c r="B166" s="15" t="str">
        <f t="shared" ref="B166:B187" si="10">CHOOSE(WEEKDAY(C166,2),"Lundi","Mardi","Mercredi","Jeudi","Vendredi","Samedi","Dimanche")</f>
        <v>Dimanche</v>
      </c>
      <c r="C166" s="16">
        <f>'Stratégie de Communication'!$C$7+160</f>
        <v>46397</v>
      </c>
      <c r="D166" s="15" t="str">
        <f t="shared" ref="D166:D187" si="11">CHOOSE(MONTH(C166),"janvier","février","mars","avril","mai","juin","juillet","août","septembre","octobre","novembre","décembre")&amp;" "&amp;YEAR(C166)</f>
        <v>janvier 2027</v>
      </c>
      <c r="E166" s="12"/>
      <c r="F166" s="12"/>
      <c r="G166" s="12"/>
      <c r="H166" s="12"/>
      <c r="I166" s="12"/>
      <c r="J166" s="12"/>
      <c r="K166" s="17"/>
      <c r="L166" s="12"/>
      <c r="M166" s="12" t="s">
        <v>55</v>
      </c>
      <c r="N166" s="18">
        <f>DATEDIF('Stratégie de Communication'!$C$7,C166,"m")+1</f>
        <v>6</v>
      </c>
    </row>
    <row r="167" spans="1:14" ht="30" customHeight="1" x14ac:dyDescent="0.3">
      <c r="A167" s="33">
        <v>24</v>
      </c>
      <c r="B167" s="19" t="str">
        <f t="shared" si="10"/>
        <v>Lundi</v>
      </c>
      <c r="C167" s="20">
        <f>'Stratégie de Communication'!$C$7+161</f>
        <v>46398</v>
      </c>
      <c r="D167" s="19" t="str">
        <f t="shared" si="11"/>
        <v>janvier 2027</v>
      </c>
      <c r="E167" s="12"/>
      <c r="F167" s="12"/>
      <c r="G167" s="12"/>
      <c r="H167" s="12"/>
      <c r="I167" s="12"/>
      <c r="J167" s="12"/>
      <c r="K167" s="17"/>
      <c r="L167" s="12"/>
      <c r="M167" s="12" t="s">
        <v>55</v>
      </c>
      <c r="N167" s="18">
        <f>DATEDIF('Stratégie de Communication'!$C$7,C167,"m")+1</f>
        <v>6</v>
      </c>
    </row>
    <row r="168" spans="1:14" ht="30" customHeight="1" x14ac:dyDescent="0.3">
      <c r="A168" s="33"/>
      <c r="B168" s="19" t="str">
        <f t="shared" si="10"/>
        <v>Mardi</v>
      </c>
      <c r="C168" s="20">
        <f>'Stratégie de Communication'!$C$7+162</f>
        <v>46399</v>
      </c>
      <c r="D168" s="19" t="str">
        <f t="shared" si="11"/>
        <v>janvier 2027</v>
      </c>
      <c r="E168" s="12"/>
      <c r="F168" s="12"/>
      <c r="G168" s="12"/>
      <c r="H168" s="12"/>
      <c r="I168" s="12"/>
      <c r="J168" s="12"/>
      <c r="K168" s="17"/>
      <c r="L168" s="12"/>
      <c r="M168" s="12" t="s">
        <v>55</v>
      </c>
      <c r="N168" s="18">
        <f>DATEDIF('Stratégie de Communication'!$C$7,C168,"m")+1</f>
        <v>6</v>
      </c>
    </row>
    <row r="169" spans="1:14" ht="30" customHeight="1" x14ac:dyDescent="0.3">
      <c r="A169" s="33"/>
      <c r="B169" s="19" t="str">
        <f t="shared" si="10"/>
        <v>Mercredi</v>
      </c>
      <c r="C169" s="20">
        <f>'Stratégie de Communication'!$C$7+163</f>
        <v>46400</v>
      </c>
      <c r="D169" s="19" t="str">
        <f t="shared" si="11"/>
        <v>janvier 2027</v>
      </c>
      <c r="E169" s="12"/>
      <c r="F169" s="12"/>
      <c r="G169" s="12"/>
      <c r="H169" s="12"/>
      <c r="I169" s="12"/>
      <c r="J169" s="12"/>
      <c r="K169" s="17"/>
      <c r="L169" s="12"/>
      <c r="M169" s="12" t="s">
        <v>55</v>
      </c>
      <c r="N169" s="18">
        <f>DATEDIF('Stratégie de Communication'!$C$7,C169,"m")+1</f>
        <v>6</v>
      </c>
    </row>
    <row r="170" spans="1:14" ht="30" customHeight="1" x14ac:dyDescent="0.3">
      <c r="A170" s="33"/>
      <c r="B170" s="19" t="str">
        <f t="shared" si="10"/>
        <v>Jeudi</v>
      </c>
      <c r="C170" s="20">
        <f>'Stratégie de Communication'!$C$7+164</f>
        <v>46401</v>
      </c>
      <c r="D170" s="19" t="str">
        <f t="shared" si="11"/>
        <v>janvier 2027</v>
      </c>
      <c r="E170" s="12"/>
      <c r="F170" s="12"/>
      <c r="G170" s="12"/>
      <c r="H170" s="12"/>
      <c r="I170" s="12"/>
      <c r="J170" s="12"/>
      <c r="K170" s="17"/>
      <c r="L170" s="12"/>
      <c r="M170" s="12" t="s">
        <v>55</v>
      </c>
      <c r="N170" s="18">
        <f>DATEDIF('Stratégie de Communication'!$C$7,C170,"m")+1</f>
        <v>6</v>
      </c>
    </row>
    <row r="171" spans="1:14" ht="30" customHeight="1" x14ac:dyDescent="0.3">
      <c r="A171" s="33"/>
      <c r="B171" s="19" t="str">
        <f t="shared" si="10"/>
        <v>Vendredi</v>
      </c>
      <c r="C171" s="20">
        <f>'Stratégie de Communication'!$C$7+165</f>
        <v>46402</v>
      </c>
      <c r="D171" s="19" t="str">
        <f t="shared" si="11"/>
        <v>janvier 2027</v>
      </c>
      <c r="E171" s="12"/>
      <c r="F171" s="12"/>
      <c r="G171" s="12"/>
      <c r="H171" s="12"/>
      <c r="I171" s="12"/>
      <c r="J171" s="12"/>
      <c r="K171" s="17"/>
      <c r="L171" s="12"/>
      <c r="M171" s="12" t="s">
        <v>55</v>
      </c>
      <c r="N171" s="18">
        <f>DATEDIF('Stratégie de Communication'!$C$7,C171,"m")+1</f>
        <v>6</v>
      </c>
    </row>
    <row r="172" spans="1:14" ht="30" customHeight="1" x14ac:dyDescent="0.3">
      <c r="A172" s="33"/>
      <c r="B172" s="19" t="str">
        <f t="shared" si="10"/>
        <v>Samedi</v>
      </c>
      <c r="C172" s="20">
        <f>'Stratégie de Communication'!$C$7+166</f>
        <v>46403</v>
      </c>
      <c r="D172" s="19" t="str">
        <f t="shared" si="11"/>
        <v>janvier 2027</v>
      </c>
      <c r="E172" s="12"/>
      <c r="F172" s="12"/>
      <c r="G172" s="12"/>
      <c r="H172" s="12"/>
      <c r="I172" s="12"/>
      <c r="J172" s="12"/>
      <c r="K172" s="17"/>
      <c r="L172" s="12"/>
      <c r="M172" s="12" t="s">
        <v>55</v>
      </c>
      <c r="N172" s="18">
        <f>DATEDIF('Stratégie de Communication'!$C$7,C172,"m")+1</f>
        <v>6</v>
      </c>
    </row>
    <row r="173" spans="1:14" ht="30" customHeight="1" x14ac:dyDescent="0.3">
      <c r="A173" s="33"/>
      <c r="B173" s="19" t="str">
        <f t="shared" si="10"/>
        <v>Dimanche</v>
      </c>
      <c r="C173" s="20">
        <f>'Stratégie de Communication'!$C$7+167</f>
        <v>46404</v>
      </c>
      <c r="D173" s="19" t="str">
        <f t="shared" si="11"/>
        <v>janvier 2027</v>
      </c>
      <c r="E173" s="12"/>
      <c r="F173" s="12"/>
      <c r="G173" s="12"/>
      <c r="H173" s="12"/>
      <c r="I173" s="12"/>
      <c r="J173" s="12"/>
      <c r="K173" s="17"/>
      <c r="L173" s="12"/>
      <c r="M173" s="12" t="s">
        <v>55</v>
      </c>
      <c r="N173" s="18">
        <f>DATEDIF('Stratégie de Communication'!$C$7,C173,"m")+1</f>
        <v>6</v>
      </c>
    </row>
    <row r="174" spans="1:14" ht="30" customHeight="1" x14ac:dyDescent="0.3">
      <c r="A174" s="33">
        <v>25</v>
      </c>
      <c r="B174" s="15" t="str">
        <f t="shared" si="10"/>
        <v>Lundi</v>
      </c>
      <c r="C174" s="16">
        <f>'Stratégie de Communication'!$C$7+168</f>
        <v>46405</v>
      </c>
      <c r="D174" s="15" t="str">
        <f t="shared" si="11"/>
        <v>janvier 2027</v>
      </c>
      <c r="E174" s="12"/>
      <c r="F174" s="12"/>
      <c r="G174" s="12"/>
      <c r="H174" s="12"/>
      <c r="I174" s="12"/>
      <c r="J174" s="12"/>
      <c r="K174" s="17"/>
      <c r="L174" s="12"/>
      <c r="M174" s="12" t="s">
        <v>55</v>
      </c>
      <c r="N174" s="18">
        <f>DATEDIF('Stratégie de Communication'!$C$7,C174,"m")+1</f>
        <v>6</v>
      </c>
    </row>
    <row r="175" spans="1:14" ht="30" customHeight="1" x14ac:dyDescent="0.3">
      <c r="A175" s="33"/>
      <c r="B175" s="15" t="str">
        <f t="shared" si="10"/>
        <v>Mardi</v>
      </c>
      <c r="C175" s="16">
        <f>'Stratégie de Communication'!$C$7+169</f>
        <v>46406</v>
      </c>
      <c r="D175" s="15" t="str">
        <f t="shared" si="11"/>
        <v>janvier 2027</v>
      </c>
      <c r="E175" s="12"/>
      <c r="F175" s="12"/>
      <c r="G175" s="12"/>
      <c r="H175" s="12"/>
      <c r="I175" s="12"/>
      <c r="J175" s="12"/>
      <c r="K175" s="17"/>
      <c r="L175" s="12"/>
      <c r="M175" s="12" t="s">
        <v>55</v>
      </c>
      <c r="N175" s="18">
        <f>DATEDIF('Stratégie de Communication'!$C$7,C175,"m")+1</f>
        <v>6</v>
      </c>
    </row>
    <row r="176" spans="1:14" ht="30" customHeight="1" x14ac:dyDescent="0.3">
      <c r="A176" s="33"/>
      <c r="B176" s="15" t="str">
        <f t="shared" si="10"/>
        <v>Mercredi</v>
      </c>
      <c r="C176" s="16">
        <f>'Stratégie de Communication'!$C$7+170</f>
        <v>46407</v>
      </c>
      <c r="D176" s="15" t="str">
        <f t="shared" si="11"/>
        <v>janvier 2027</v>
      </c>
      <c r="E176" s="12"/>
      <c r="F176" s="12"/>
      <c r="G176" s="12"/>
      <c r="H176" s="12"/>
      <c r="I176" s="12"/>
      <c r="J176" s="12"/>
      <c r="K176" s="17"/>
      <c r="L176" s="12"/>
      <c r="M176" s="12" t="s">
        <v>55</v>
      </c>
      <c r="N176" s="18">
        <f>DATEDIF('Stratégie de Communication'!$C$7,C176,"m")+1</f>
        <v>6</v>
      </c>
    </row>
    <row r="177" spans="1:14" ht="30" customHeight="1" x14ac:dyDescent="0.3">
      <c r="A177" s="33"/>
      <c r="B177" s="15" t="str">
        <f t="shared" si="10"/>
        <v>Jeudi</v>
      </c>
      <c r="C177" s="16">
        <f>'Stratégie de Communication'!$C$7+171</f>
        <v>46408</v>
      </c>
      <c r="D177" s="15" t="str">
        <f t="shared" si="11"/>
        <v>janvier 2027</v>
      </c>
      <c r="E177" s="12"/>
      <c r="F177" s="12"/>
      <c r="G177" s="12"/>
      <c r="H177" s="12"/>
      <c r="I177" s="12"/>
      <c r="J177" s="12"/>
      <c r="K177" s="17"/>
      <c r="L177" s="12"/>
      <c r="M177" s="12" t="s">
        <v>55</v>
      </c>
      <c r="N177" s="18">
        <f>DATEDIF('Stratégie de Communication'!$C$7,C177,"m")+1</f>
        <v>6</v>
      </c>
    </row>
    <row r="178" spans="1:14" ht="30" customHeight="1" x14ac:dyDescent="0.3">
      <c r="A178" s="33"/>
      <c r="B178" s="15" t="str">
        <f t="shared" si="10"/>
        <v>Vendredi</v>
      </c>
      <c r="C178" s="16">
        <f>'Stratégie de Communication'!$C$7+172</f>
        <v>46409</v>
      </c>
      <c r="D178" s="15" t="str">
        <f t="shared" si="11"/>
        <v>janvier 2027</v>
      </c>
      <c r="E178" s="12"/>
      <c r="F178" s="12"/>
      <c r="G178" s="12"/>
      <c r="H178" s="12"/>
      <c r="I178" s="12"/>
      <c r="J178" s="12"/>
      <c r="K178" s="17"/>
      <c r="L178" s="12"/>
      <c r="M178" s="12" t="s">
        <v>55</v>
      </c>
      <c r="N178" s="18">
        <f>DATEDIF('Stratégie de Communication'!$C$7,C178,"m")+1</f>
        <v>6</v>
      </c>
    </row>
    <row r="179" spans="1:14" ht="30" customHeight="1" x14ac:dyDescent="0.3">
      <c r="A179" s="33"/>
      <c r="B179" s="15" t="str">
        <f t="shared" si="10"/>
        <v>Samedi</v>
      </c>
      <c r="C179" s="16">
        <f>'Stratégie de Communication'!$C$7+173</f>
        <v>46410</v>
      </c>
      <c r="D179" s="15" t="str">
        <f t="shared" si="11"/>
        <v>janvier 2027</v>
      </c>
      <c r="E179" s="12"/>
      <c r="F179" s="12"/>
      <c r="G179" s="12"/>
      <c r="H179" s="12"/>
      <c r="I179" s="12"/>
      <c r="J179" s="12"/>
      <c r="K179" s="17"/>
      <c r="L179" s="12"/>
      <c r="M179" s="12" t="s">
        <v>55</v>
      </c>
      <c r="N179" s="18">
        <f>DATEDIF('Stratégie de Communication'!$C$7,C179,"m")+1</f>
        <v>6</v>
      </c>
    </row>
    <row r="180" spans="1:14" ht="30" customHeight="1" x14ac:dyDescent="0.3">
      <c r="A180" s="33"/>
      <c r="B180" s="15" t="str">
        <f t="shared" si="10"/>
        <v>Dimanche</v>
      </c>
      <c r="C180" s="16">
        <f>'Stratégie de Communication'!$C$7+174</f>
        <v>46411</v>
      </c>
      <c r="D180" s="15" t="str">
        <f t="shared" si="11"/>
        <v>janvier 2027</v>
      </c>
      <c r="E180" s="12"/>
      <c r="F180" s="12"/>
      <c r="G180" s="12"/>
      <c r="H180" s="12"/>
      <c r="I180" s="12"/>
      <c r="J180" s="12"/>
      <c r="K180" s="17"/>
      <c r="L180" s="12"/>
      <c r="M180" s="12" t="s">
        <v>55</v>
      </c>
      <c r="N180" s="18">
        <f>DATEDIF('Stratégie de Communication'!$C$7,C180,"m")+1</f>
        <v>6</v>
      </c>
    </row>
    <row r="181" spans="1:14" ht="30" customHeight="1" x14ac:dyDescent="0.3">
      <c r="A181" s="33">
        <v>26</v>
      </c>
      <c r="B181" s="19" t="str">
        <f t="shared" si="10"/>
        <v>Lundi</v>
      </c>
      <c r="C181" s="20">
        <f>'Stratégie de Communication'!$C$7+175</f>
        <v>46412</v>
      </c>
      <c r="D181" s="19" t="str">
        <f t="shared" si="11"/>
        <v>janvier 2027</v>
      </c>
      <c r="E181" s="12"/>
      <c r="F181" s="12"/>
      <c r="G181" s="12"/>
      <c r="H181" s="12"/>
      <c r="I181" s="12"/>
      <c r="J181" s="12"/>
      <c r="K181" s="17"/>
      <c r="L181" s="12"/>
      <c r="M181" s="12" t="s">
        <v>55</v>
      </c>
      <c r="N181" s="18">
        <f>DATEDIF('Stratégie de Communication'!$C$7,C181,"m")+1</f>
        <v>6</v>
      </c>
    </row>
    <row r="182" spans="1:14" ht="30" customHeight="1" x14ac:dyDescent="0.3">
      <c r="A182" s="33"/>
      <c r="B182" s="19" t="str">
        <f t="shared" si="10"/>
        <v>Mardi</v>
      </c>
      <c r="C182" s="20">
        <f>'Stratégie de Communication'!$C$7+176</f>
        <v>46413</v>
      </c>
      <c r="D182" s="19" t="str">
        <f t="shared" si="11"/>
        <v>janvier 2027</v>
      </c>
      <c r="E182" s="12"/>
      <c r="F182" s="12"/>
      <c r="G182" s="12"/>
      <c r="H182" s="12"/>
      <c r="I182" s="12"/>
      <c r="J182" s="12"/>
      <c r="K182" s="17"/>
      <c r="L182" s="12"/>
      <c r="M182" s="12" t="s">
        <v>55</v>
      </c>
      <c r="N182" s="18">
        <f>DATEDIF('Stratégie de Communication'!$C$7,C182,"m")+1</f>
        <v>6</v>
      </c>
    </row>
    <row r="183" spans="1:14" ht="30" customHeight="1" x14ac:dyDescent="0.3">
      <c r="A183" s="33"/>
      <c r="B183" s="19" t="str">
        <f t="shared" si="10"/>
        <v>Mercredi</v>
      </c>
      <c r="C183" s="20">
        <f>'Stratégie de Communication'!$C$7+177</f>
        <v>46414</v>
      </c>
      <c r="D183" s="19" t="str">
        <f t="shared" si="11"/>
        <v>janvier 2027</v>
      </c>
      <c r="E183" s="12"/>
      <c r="F183" s="12"/>
      <c r="G183" s="12"/>
      <c r="H183" s="12"/>
      <c r="I183" s="12"/>
      <c r="J183" s="12"/>
      <c r="K183" s="17"/>
      <c r="L183" s="12"/>
      <c r="M183" s="12" t="s">
        <v>55</v>
      </c>
      <c r="N183" s="18">
        <f>DATEDIF('Stratégie de Communication'!$C$7,C183,"m")+1</f>
        <v>6</v>
      </c>
    </row>
    <row r="184" spans="1:14" ht="30" customHeight="1" x14ac:dyDescent="0.3">
      <c r="A184" s="33"/>
      <c r="B184" s="19" t="str">
        <f t="shared" si="10"/>
        <v>Jeudi</v>
      </c>
      <c r="C184" s="20">
        <f>'Stratégie de Communication'!$C$7+178</f>
        <v>46415</v>
      </c>
      <c r="D184" s="19" t="str">
        <f t="shared" si="11"/>
        <v>janvier 2027</v>
      </c>
      <c r="E184" s="12"/>
      <c r="F184" s="12"/>
      <c r="G184" s="12"/>
      <c r="H184" s="12"/>
      <c r="I184" s="12"/>
      <c r="J184" s="12"/>
      <c r="K184" s="17"/>
      <c r="L184" s="12"/>
      <c r="M184" s="12" t="s">
        <v>55</v>
      </c>
      <c r="N184" s="18">
        <f>DATEDIF('Stratégie de Communication'!$C$7,C184,"m")+1</f>
        <v>6</v>
      </c>
    </row>
    <row r="185" spans="1:14" ht="30" customHeight="1" x14ac:dyDescent="0.3">
      <c r="A185" s="33"/>
      <c r="B185" s="19" t="str">
        <f t="shared" si="10"/>
        <v>Vendredi</v>
      </c>
      <c r="C185" s="20">
        <f>'Stratégie de Communication'!$C$7+179</f>
        <v>46416</v>
      </c>
      <c r="D185" s="19" t="str">
        <f t="shared" si="11"/>
        <v>janvier 2027</v>
      </c>
      <c r="E185" s="12"/>
      <c r="F185" s="12"/>
      <c r="G185" s="12"/>
      <c r="H185" s="12"/>
      <c r="I185" s="12"/>
      <c r="J185" s="12"/>
      <c r="K185" s="17"/>
      <c r="L185" s="12"/>
      <c r="M185" s="12" t="s">
        <v>55</v>
      </c>
      <c r="N185" s="18">
        <f>DATEDIF('Stratégie de Communication'!$C$7,C185,"m")+1</f>
        <v>6</v>
      </c>
    </row>
    <row r="186" spans="1:14" ht="30" customHeight="1" x14ac:dyDescent="0.3">
      <c r="A186" s="33"/>
      <c r="B186" s="19" t="str">
        <f t="shared" si="10"/>
        <v>Samedi</v>
      </c>
      <c r="C186" s="20">
        <f>'Stratégie de Communication'!$C$7+180</f>
        <v>46417</v>
      </c>
      <c r="D186" s="19" t="str">
        <f t="shared" si="11"/>
        <v>janvier 2027</v>
      </c>
      <c r="E186" s="12"/>
      <c r="F186" s="12"/>
      <c r="G186" s="12"/>
      <c r="H186" s="12"/>
      <c r="I186" s="12"/>
      <c r="J186" s="12"/>
      <c r="K186" s="17"/>
      <c r="L186" s="12"/>
      <c r="M186" s="12" t="s">
        <v>55</v>
      </c>
      <c r="N186" s="18">
        <f>DATEDIF('Stratégie de Communication'!$C$7,C186,"m")+1</f>
        <v>6</v>
      </c>
    </row>
    <row r="187" spans="1:14" ht="30" customHeight="1" x14ac:dyDescent="0.3">
      <c r="A187" s="33"/>
      <c r="B187" s="19" t="str">
        <f t="shared" si="10"/>
        <v>Dimanche</v>
      </c>
      <c r="C187" s="20">
        <f>'Stratégie de Communication'!$C$7+181</f>
        <v>46418</v>
      </c>
      <c r="D187" s="19" t="str">
        <f t="shared" si="11"/>
        <v>janvier 2027</v>
      </c>
      <c r="E187" s="12"/>
      <c r="F187" s="12"/>
      <c r="G187" s="12"/>
      <c r="H187" s="12"/>
      <c r="I187" s="12"/>
      <c r="J187" s="12"/>
      <c r="K187" s="17"/>
      <c r="L187" s="12"/>
      <c r="M187" s="12" t="s">
        <v>55</v>
      </c>
      <c r="N187" s="18">
        <f>DATEDIF('Stratégie de Communication'!$C$7,C187,"m")+1</f>
        <v>6</v>
      </c>
    </row>
  </sheetData>
  <sheetProtection algorithmName="SHA-512" hashValue="FU3SgouB9QcWkKPGrZbyTb8jsLLo49mX/Pfs8Kby2TByHNUhGt0u2fx8xcfrDV5BRqtsuXSRM8Gup0Uigq5qpQ==" saltValue="e9yKCjm1LmAo5WRqrOqMtw==" spinCount="100000" sheet="1" objects="1" scenarios="1"/>
  <protectedRanges>
    <protectedRange sqref="E6:M187" name="Plage1"/>
  </protectedRanges>
  <mergeCells count="28">
    <mergeCell ref="A3:M3"/>
    <mergeCell ref="A4:M4"/>
    <mergeCell ref="A6:A12"/>
    <mergeCell ref="A13:A19"/>
    <mergeCell ref="A20:A26"/>
    <mergeCell ref="A27:A33"/>
    <mergeCell ref="A34:A40"/>
    <mergeCell ref="A41:A47"/>
    <mergeCell ref="A48:A54"/>
    <mergeCell ref="A55:A61"/>
    <mergeCell ref="A62:A68"/>
    <mergeCell ref="A69:A75"/>
    <mergeCell ref="A76:A82"/>
    <mergeCell ref="A83:A89"/>
    <mergeCell ref="A90:A96"/>
    <mergeCell ref="A97:A103"/>
    <mergeCell ref="A104:A110"/>
    <mergeCell ref="A111:A117"/>
    <mergeCell ref="A118:A124"/>
    <mergeCell ref="A125:A131"/>
    <mergeCell ref="A167:A173"/>
    <mergeCell ref="A174:A180"/>
    <mergeCell ref="A181:A187"/>
    <mergeCell ref="A132:A138"/>
    <mergeCell ref="A139:A145"/>
    <mergeCell ref="A146:A152"/>
    <mergeCell ref="A153:A159"/>
    <mergeCell ref="A160:A166"/>
  </mergeCells>
  <conditionalFormatting sqref="M6:M187">
    <cfRule type="cellIs" dxfId="5" priority="2" operator="equal">
      <formula>"Publié"</formula>
    </cfRule>
    <cfRule type="cellIs" dxfId="4" priority="3" operator="equal">
      <formula>"En cours"</formula>
    </cfRule>
    <cfRule type="cellIs" dxfId="3" priority="4" operator="equal">
      <formula>"Reporté"</formula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errorTitle="Valeur non valide" error="Veuillez choisir une valeur dans la liste." xr:uid="{00000000-0002-0000-0200-000000000000}">
          <x14:formula1>
            <xm:f>Listes!$D$2:$D$10</xm:f>
          </x14:formula1>
          <x14:formula2>
            <xm:f>0</xm:f>
          </x14:formula2>
          <xm:sqref>G6:G187</xm:sqref>
        </x14:dataValidation>
        <x14:dataValidation type="list" allowBlank="1" showErrorMessage="1" errorTitle="Valeur non valide" error="Veuillez choisir une valeur dans la liste." xr:uid="{00000000-0002-0000-0200-000001000000}">
          <x14:formula1>
            <xm:f>Listes!$A$2:$A$11</xm:f>
          </x14:formula1>
          <x14:formula2>
            <xm:f>0</xm:f>
          </x14:formula2>
          <xm:sqref>H6:H187</xm:sqref>
        </x14:dataValidation>
        <x14:dataValidation type="list" allowBlank="1" showErrorMessage="1" errorTitle="Valeur non valide" error="Veuillez choisir une valeur dans la liste." xr:uid="{00000000-0002-0000-0200-000002000000}">
          <x14:formula1>
            <xm:f>Listes!$B$2:$B$9</xm:f>
          </x14:formula1>
          <x14:formula2>
            <xm:f>0</xm:f>
          </x14:formula2>
          <xm:sqref>I6:I187</xm:sqref>
        </x14:dataValidation>
        <x14:dataValidation type="list" allowBlank="1" showErrorMessage="1" errorTitle="Valeur non valide" error="Veuillez choisir une valeur dans la liste." xr:uid="{00000000-0002-0000-0200-000003000000}">
          <x14:formula1>
            <xm:f>Listes!$C$2:$C$9</xm:f>
          </x14:formula1>
          <x14:formula2>
            <xm:f>0</xm:f>
          </x14:formula2>
          <xm:sqref>J6:J187</xm:sqref>
        </x14:dataValidation>
        <x14:dataValidation type="list" allowBlank="1" showErrorMessage="1" errorTitle="Valeur non valide" error="Veuillez choisir une valeur dans la liste." xr:uid="{00000000-0002-0000-0200-000004000000}">
          <x14:formula1>
            <xm:f>Listes!$E$2:$E$5</xm:f>
          </x14:formula1>
          <x14:formula2>
            <xm:f>0</xm:f>
          </x14:formula2>
          <xm:sqref>M6:M187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2:N187"/>
  <sheetViews>
    <sheetView showGridLines="0" zoomScaleNormal="100" workbookViewId="0">
      <pane ySplit="5" topLeftCell="A6" activePane="bottomLeft" state="frozen"/>
      <selection pane="bottomLeft" activeCell="F6" sqref="F6"/>
    </sheetView>
  </sheetViews>
  <sheetFormatPr baseColWidth="10" defaultColWidth="8.6640625" defaultRowHeight="30" customHeight="1" x14ac:dyDescent="0.3"/>
  <cols>
    <col min="1" max="1" width="9" customWidth="1"/>
    <col min="2" max="2" width="12" customWidth="1"/>
    <col min="3" max="3" width="13" customWidth="1"/>
    <col min="4" max="4" width="14" customWidth="1"/>
    <col min="5" max="5" width="34.109375" customWidth="1"/>
    <col min="6" max="6" width="30" customWidth="1"/>
    <col min="7" max="7" width="16" customWidth="1"/>
    <col min="8" max="8" width="18" customWidth="1"/>
    <col min="9" max="9" width="15" customWidth="1"/>
    <col min="10" max="10" width="20" customWidth="1"/>
    <col min="11" max="11" width="14" customWidth="1"/>
    <col min="12" max="12" width="16" customWidth="1"/>
    <col min="13" max="13" width="12" customWidth="1"/>
    <col min="14" max="14" width="13" hidden="1" customWidth="1"/>
  </cols>
  <sheetData>
    <row r="2" spans="1:14" ht="30" customHeight="1" x14ac:dyDescent="0.4">
      <c r="A2" s="44" t="s">
        <v>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ht="30" customHeight="1" x14ac:dyDescent="0.3">
      <c r="A3" s="46" t="s">
        <v>32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5" spans="1:14" ht="30" customHeight="1" x14ac:dyDescent="0.3">
      <c r="A5" s="13" t="s">
        <v>34</v>
      </c>
      <c r="B5" s="13" t="s">
        <v>35</v>
      </c>
      <c r="C5" s="13" t="s">
        <v>36</v>
      </c>
      <c r="D5" s="13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13" t="s">
        <v>43</v>
      </c>
      <c r="K5" s="13" t="s">
        <v>44</v>
      </c>
      <c r="L5" s="13" t="s">
        <v>45</v>
      </c>
      <c r="M5" s="13" t="s">
        <v>46</v>
      </c>
      <c r="N5" s="14" t="s">
        <v>47</v>
      </c>
    </row>
    <row r="6" spans="1:14" ht="30" customHeight="1" x14ac:dyDescent="0.3">
      <c r="A6" s="33">
        <v>1</v>
      </c>
      <c r="B6" s="15" t="str">
        <f t="shared" ref="B6:B37" si="0">CHOOSE(WEEKDAY(C6,2),"Lundi","Mardi","Mercredi","Jeudi","Vendredi","Samedi","Dimanche")</f>
        <v>Lundi</v>
      </c>
      <c r="C6" s="16">
        <f>'Stratégie de Communication'!$C$8</f>
        <v>46419</v>
      </c>
      <c r="D6" s="15" t="str">
        <f t="shared" ref="D6:D37" si="1">CHOOSE(MONTH(C6),"janvier","février","mars","avril","mai","juin","juillet","août","septembre","octobre","novembre","décembre")&amp;" "&amp;YEAR(C6)</f>
        <v>février 2027</v>
      </c>
      <c r="E6" s="12"/>
      <c r="F6" s="12"/>
      <c r="G6" s="12"/>
      <c r="H6" s="12"/>
      <c r="I6" s="12"/>
      <c r="J6" s="12"/>
      <c r="K6" s="17"/>
      <c r="L6" s="12"/>
      <c r="M6" s="12" t="s">
        <v>55</v>
      </c>
      <c r="N6" s="18">
        <f>DATEDIF('Stratégie de Communication'!$C$8,C6,"m")+1</f>
        <v>1</v>
      </c>
    </row>
    <row r="7" spans="1:14" ht="30" customHeight="1" x14ac:dyDescent="0.3">
      <c r="A7" s="33"/>
      <c r="B7" s="15" t="str">
        <f t="shared" si="0"/>
        <v>Mardi</v>
      </c>
      <c r="C7" s="16">
        <f>'Stratégie de Communication'!$C$8+1</f>
        <v>46420</v>
      </c>
      <c r="D7" s="15" t="str">
        <f t="shared" si="1"/>
        <v>février 2027</v>
      </c>
      <c r="E7" s="12"/>
      <c r="F7" s="12"/>
      <c r="G7" s="12"/>
      <c r="H7" s="12"/>
      <c r="I7" s="12"/>
      <c r="J7" s="12"/>
      <c r="K7" s="17"/>
      <c r="L7" s="12"/>
      <c r="M7" s="12" t="s">
        <v>55</v>
      </c>
      <c r="N7" s="18">
        <f>DATEDIF('Stratégie de Communication'!$C$8,C7,"m")+1</f>
        <v>1</v>
      </c>
    </row>
    <row r="8" spans="1:14" ht="30" customHeight="1" x14ac:dyDescent="0.3">
      <c r="A8" s="33"/>
      <c r="B8" s="15" t="str">
        <f t="shared" si="0"/>
        <v>Mercredi</v>
      </c>
      <c r="C8" s="16">
        <f>'Stratégie de Communication'!$C$8+2</f>
        <v>46421</v>
      </c>
      <c r="D8" s="15" t="str">
        <f t="shared" si="1"/>
        <v>février 2027</v>
      </c>
      <c r="E8" s="12"/>
      <c r="F8" s="12"/>
      <c r="G8" s="12"/>
      <c r="H8" s="12"/>
      <c r="I8" s="12"/>
      <c r="J8" s="12"/>
      <c r="K8" s="17"/>
      <c r="L8" s="12"/>
      <c r="M8" s="12" t="s">
        <v>55</v>
      </c>
      <c r="N8" s="18">
        <f>DATEDIF('Stratégie de Communication'!$C$8,C8,"m")+1</f>
        <v>1</v>
      </c>
    </row>
    <row r="9" spans="1:14" ht="30" customHeight="1" x14ac:dyDescent="0.3">
      <c r="A9" s="33"/>
      <c r="B9" s="15" t="str">
        <f t="shared" si="0"/>
        <v>Jeudi</v>
      </c>
      <c r="C9" s="16">
        <f>'Stratégie de Communication'!$C$8+3</f>
        <v>46422</v>
      </c>
      <c r="D9" s="15" t="str">
        <f t="shared" si="1"/>
        <v>février 2027</v>
      </c>
      <c r="E9" s="12"/>
      <c r="F9" s="12"/>
      <c r="G9" s="12"/>
      <c r="H9" s="12"/>
      <c r="I9" s="12"/>
      <c r="J9" s="12"/>
      <c r="K9" s="17"/>
      <c r="L9" s="12"/>
      <c r="M9" s="12" t="s">
        <v>55</v>
      </c>
      <c r="N9" s="18">
        <f>DATEDIF('Stratégie de Communication'!$C$8,C9,"m")+1</f>
        <v>1</v>
      </c>
    </row>
    <row r="10" spans="1:14" ht="30" customHeight="1" x14ac:dyDescent="0.3">
      <c r="A10" s="33"/>
      <c r="B10" s="15" t="str">
        <f t="shared" si="0"/>
        <v>Vendredi</v>
      </c>
      <c r="C10" s="16">
        <f>'Stratégie de Communication'!$C$8+4</f>
        <v>46423</v>
      </c>
      <c r="D10" s="15" t="str">
        <f t="shared" si="1"/>
        <v>février 2027</v>
      </c>
      <c r="E10" s="12"/>
      <c r="F10" s="12"/>
      <c r="G10" s="12"/>
      <c r="H10" s="12"/>
      <c r="I10" s="12"/>
      <c r="J10" s="12"/>
      <c r="K10" s="17"/>
      <c r="L10" s="12"/>
      <c r="M10" s="12" t="s">
        <v>55</v>
      </c>
      <c r="N10" s="18">
        <f>DATEDIF('Stratégie de Communication'!$C$8,C10,"m")+1</f>
        <v>1</v>
      </c>
    </row>
    <row r="11" spans="1:14" ht="30" customHeight="1" x14ac:dyDescent="0.3">
      <c r="A11" s="33"/>
      <c r="B11" s="15" t="str">
        <f t="shared" si="0"/>
        <v>Samedi</v>
      </c>
      <c r="C11" s="16">
        <f>'Stratégie de Communication'!$C$8+5</f>
        <v>46424</v>
      </c>
      <c r="D11" s="15" t="str">
        <f t="shared" si="1"/>
        <v>février 2027</v>
      </c>
      <c r="E11" s="12"/>
      <c r="F11" s="12"/>
      <c r="G11" s="12"/>
      <c r="H11" s="12"/>
      <c r="I11" s="12"/>
      <c r="J11" s="12"/>
      <c r="K11" s="17"/>
      <c r="L11" s="12"/>
      <c r="M11" s="12" t="s">
        <v>55</v>
      </c>
      <c r="N11" s="18">
        <f>DATEDIF('Stratégie de Communication'!$C$8,C11,"m")+1</f>
        <v>1</v>
      </c>
    </row>
    <row r="12" spans="1:14" ht="30" customHeight="1" x14ac:dyDescent="0.3">
      <c r="A12" s="33"/>
      <c r="B12" s="15" t="str">
        <f t="shared" si="0"/>
        <v>Dimanche</v>
      </c>
      <c r="C12" s="16">
        <f>'Stratégie de Communication'!$C$8+6</f>
        <v>46425</v>
      </c>
      <c r="D12" s="15" t="str">
        <f t="shared" si="1"/>
        <v>février 2027</v>
      </c>
      <c r="E12" s="12"/>
      <c r="F12" s="12"/>
      <c r="G12" s="12"/>
      <c r="H12" s="12"/>
      <c r="I12" s="12"/>
      <c r="J12" s="12"/>
      <c r="K12" s="17"/>
      <c r="L12" s="12"/>
      <c r="M12" s="12" t="s">
        <v>55</v>
      </c>
      <c r="N12" s="18">
        <f>DATEDIF('Stratégie de Communication'!$C$8,C12,"m")+1</f>
        <v>1</v>
      </c>
    </row>
    <row r="13" spans="1:14" ht="30" customHeight="1" x14ac:dyDescent="0.3">
      <c r="A13" s="33">
        <v>2</v>
      </c>
      <c r="B13" s="19" t="str">
        <f t="shared" si="0"/>
        <v>Lundi</v>
      </c>
      <c r="C13" s="20">
        <f>'Stratégie de Communication'!$C$8+7</f>
        <v>46426</v>
      </c>
      <c r="D13" s="19" t="str">
        <f t="shared" si="1"/>
        <v>février 2027</v>
      </c>
      <c r="E13" s="12"/>
      <c r="F13" s="12"/>
      <c r="G13" s="12"/>
      <c r="H13" s="12"/>
      <c r="I13" s="12"/>
      <c r="J13" s="12"/>
      <c r="K13" s="17"/>
      <c r="L13" s="12"/>
      <c r="M13" s="12" t="s">
        <v>55</v>
      </c>
      <c r="N13" s="18">
        <f>DATEDIF('Stratégie de Communication'!$C$8,C13,"m")+1</f>
        <v>1</v>
      </c>
    </row>
    <row r="14" spans="1:14" ht="30" customHeight="1" x14ac:dyDescent="0.3">
      <c r="A14" s="33"/>
      <c r="B14" s="19" t="str">
        <f t="shared" si="0"/>
        <v>Mardi</v>
      </c>
      <c r="C14" s="20">
        <f>'Stratégie de Communication'!$C$8+8</f>
        <v>46427</v>
      </c>
      <c r="D14" s="19" t="str">
        <f t="shared" si="1"/>
        <v>février 2027</v>
      </c>
      <c r="E14" s="12"/>
      <c r="F14" s="12"/>
      <c r="G14" s="12"/>
      <c r="H14" s="12"/>
      <c r="I14" s="12"/>
      <c r="J14" s="12"/>
      <c r="K14" s="17"/>
      <c r="L14" s="12"/>
      <c r="M14" s="12" t="s">
        <v>55</v>
      </c>
      <c r="N14" s="18">
        <f>DATEDIF('Stratégie de Communication'!$C$8,C14,"m")+1</f>
        <v>1</v>
      </c>
    </row>
    <row r="15" spans="1:14" ht="30" customHeight="1" x14ac:dyDescent="0.3">
      <c r="A15" s="33"/>
      <c r="B15" s="19" t="str">
        <f t="shared" si="0"/>
        <v>Mercredi</v>
      </c>
      <c r="C15" s="20">
        <f>'Stratégie de Communication'!$C$8+9</f>
        <v>46428</v>
      </c>
      <c r="D15" s="19" t="str">
        <f t="shared" si="1"/>
        <v>février 2027</v>
      </c>
      <c r="E15" s="12"/>
      <c r="F15" s="12"/>
      <c r="G15" s="12"/>
      <c r="H15" s="12"/>
      <c r="I15" s="12"/>
      <c r="J15" s="12"/>
      <c r="K15" s="17"/>
      <c r="L15" s="12"/>
      <c r="M15" s="12" t="s">
        <v>55</v>
      </c>
      <c r="N15" s="18">
        <f>DATEDIF('Stratégie de Communication'!$C$8,C15,"m")+1</f>
        <v>1</v>
      </c>
    </row>
    <row r="16" spans="1:14" ht="30" customHeight="1" x14ac:dyDescent="0.3">
      <c r="A16" s="33"/>
      <c r="B16" s="19" t="str">
        <f t="shared" si="0"/>
        <v>Jeudi</v>
      </c>
      <c r="C16" s="20">
        <f>'Stratégie de Communication'!$C$8+10</f>
        <v>46429</v>
      </c>
      <c r="D16" s="19" t="str">
        <f t="shared" si="1"/>
        <v>février 2027</v>
      </c>
      <c r="E16" s="12"/>
      <c r="F16" s="12"/>
      <c r="G16" s="12"/>
      <c r="H16" s="12"/>
      <c r="I16" s="12"/>
      <c r="J16" s="12"/>
      <c r="K16" s="17"/>
      <c r="L16" s="12"/>
      <c r="M16" s="12" t="s">
        <v>55</v>
      </c>
      <c r="N16" s="18">
        <f>DATEDIF('Stratégie de Communication'!$C$8,C16,"m")+1</f>
        <v>1</v>
      </c>
    </row>
    <row r="17" spans="1:14" ht="30" customHeight="1" x14ac:dyDescent="0.3">
      <c r="A17" s="33"/>
      <c r="B17" s="19" t="str">
        <f t="shared" si="0"/>
        <v>Vendredi</v>
      </c>
      <c r="C17" s="20">
        <f>'Stratégie de Communication'!$C$8+11</f>
        <v>46430</v>
      </c>
      <c r="D17" s="19" t="str">
        <f t="shared" si="1"/>
        <v>février 2027</v>
      </c>
      <c r="E17" s="12"/>
      <c r="F17" s="12"/>
      <c r="G17" s="12"/>
      <c r="H17" s="12"/>
      <c r="I17" s="12"/>
      <c r="J17" s="12"/>
      <c r="K17" s="17"/>
      <c r="L17" s="12"/>
      <c r="M17" s="12" t="s">
        <v>55</v>
      </c>
      <c r="N17" s="18">
        <f>DATEDIF('Stratégie de Communication'!$C$8,C17,"m")+1</f>
        <v>1</v>
      </c>
    </row>
    <row r="18" spans="1:14" ht="30" customHeight="1" x14ac:dyDescent="0.3">
      <c r="A18" s="33"/>
      <c r="B18" s="19" t="str">
        <f t="shared" si="0"/>
        <v>Samedi</v>
      </c>
      <c r="C18" s="20">
        <f>'Stratégie de Communication'!$C$8+12</f>
        <v>46431</v>
      </c>
      <c r="D18" s="19" t="str">
        <f t="shared" si="1"/>
        <v>février 2027</v>
      </c>
      <c r="E18" s="12"/>
      <c r="F18" s="12"/>
      <c r="G18" s="12"/>
      <c r="H18" s="12"/>
      <c r="I18" s="12"/>
      <c r="J18" s="12"/>
      <c r="K18" s="17"/>
      <c r="L18" s="12"/>
      <c r="M18" s="12" t="s">
        <v>55</v>
      </c>
      <c r="N18" s="18">
        <f>DATEDIF('Stratégie de Communication'!$C$8,C18,"m")+1</f>
        <v>1</v>
      </c>
    </row>
    <row r="19" spans="1:14" ht="30" customHeight="1" x14ac:dyDescent="0.3">
      <c r="A19" s="33"/>
      <c r="B19" s="19" t="str">
        <f t="shared" si="0"/>
        <v>Dimanche</v>
      </c>
      <c r="C19" s="20">
        <f>'Stratégie de Communication'!$C$8+13</f>
        <v>46432</v>
      </c>
      <c r="D19" s="19" t="str">
        <f t="shared" si="1"/>
        <v>février 2027</v>
      </c>
      <c r="E19" s="12"/>
      <c r="F19" s="12"/>
      <c r="G19" s="12"/>
      <c r="H19" s="12"/>
      <c r="I19" s="12"/>
      <c r="J19" s="12"/>
      <c r="K19" s="17"/>
      <c r="L19" s="12"/>
      <c r="M19" s="12" t="s">
        <v>55</v>
      </c>
      <c r="N19" s="18">
        <f>DATEDIF('Stratégie de Communication'!$C$8,C19,"m")+1</f>
        <v>1</v>
      </c>
    </row>
    <row r="20" spans="1:14" ht="30" customHeight="1" x14ac:dyDescent="0.3">
      <c r="A20" s="33">
        <v>3</v>
      </c>
      <c r="B20" s="15" t="str">
        <f t="shared" si="0"/>
        <v>Lundi</v>
      </c>
      <c r="C20" s="16">
        <f>'Stratégie de Communication'!$C$8+14</f>
        <v>46433</v>
      </c>
      <c r="D20" s="15" t="str">
        <f t="shared" si="1"/>
        <v>février 2027</v>
      </c>
      <c r="E20" s="12"/>
      <c r="F20" s="12"/>
      <c r="G20" s="12"/>
      <c r="H20" s="12"/>
      <c r="I20" s="12"/>
      <c r="J20" s="12"/>
      <c r="K20" s="17"/>
      <c r="L20" s="12"/>
      <c r="M20" s="12" t="s">
        <v>55</v>
      </c>
      <c r="N20" s="18">
        <f>DATEDIF('Stratégie de Communication'!$C$8,C20,"m")+1</f>
        <v>1</v>
      </c>
    </row>
    <row r="21" spans="1:14" ht="30" customHeight="1" x14ac:dyDescent="0.3">
      <c r="A21" s="33"/>
      <c r="B21" s="15" t="str">
        <f t="shared" si="0"/>
        <v>Mardi</v>
      </c>
      <c r="C21" s="16">
        <f>'Stratégie de Communication'!$C$8+15</f>
        <v>46434</v>
      </c>
      <c r="D21" s="15" t="str">
        <f t="shared" si="1"/>
        <v>février 2027</v>
      </c>
      <c r="E21" s="12"/>
      <c r="F21" s="12"/>
      <c r="G21" s="12"/>
      <c r="H21" s="12"/>
      <c r="I21" s="12"/>
      <c r="J21" s="12"/>
      <c r="K21" s="17"/>
      <c r="L21" s="12"/>
      <c r="M21" s="12" t="s">
        <v>55</v>
      </c>
      <c r="N21" s="18">
        <f>DATEDIF('Stratégie de Communication'!$C$8,C21,"m")+1</f>
        <v>1</v>
      </c>
    </row>
    <row r="22" spans="1:14" ht="30" customHeight="1" x14ac:dyDescent="0.3">
      <c r="A22" s="33"/>
      <c r="B22" s="15" t="str">
        <f t="shared" si="0"/>
        <v>Mercredi</v>
      </c>
      <c r="C22" s="16">
        <f>'Stratégie de Communication'!$C$8+16</f>
        <v>46435</v>
      </c>
      <c r="D22" s="15" t="str">
        <f t="shared" si="1"/>
        <v>février 2027</v>
      </c>
      <c r="E22" s="12"/>
      <c r="F22" s="12"/>
      <c r="G22" s="12"/>
      <c r="H22" s="12"/>
      <c r="I22" s="12"/>
      <c r="J22" s="12"/>
      <c r="K22" s="17"/>
      <c r="L22" s="12"/>
      <c r="M22" s="12" t="s">
        <v>55</v>
      </c>
      <c r="N22" s="18">
        <f>DATEDIF('Stratégie de Communication'!$C$8,C22,"m")+1</f>
        <v>1</v>
      </c>
    </row>
    <row r="23" spans="1:14" ht="30" customHeight="1" x14ac:dyDescent="0.3">
      <c r="A23" s="33"/>
      <c r="B23" s="15" t="str">
        <f t="shared" si="0"/>
        <v>Jeudi</v>
      </c>
      <c r="C23" s="16">
        <f>'Stratégie de Communication'!$C$8+17</f>
        <v>46436</v>
      </c>
      <c r="D23" s="15" t="str">
        <f t="shared" si="1"/>
        <v>février 2027</v>
      </c>
      <c r="E23" s="12"/>
      <c r="F23" s="12"/>
      <c r="G23" s="12"/>
      <c r="H23" s="12"/>
      <c r="I23" s="12"/>
      <c r="J23" s="12"/>
      <c r="K23" s="17"/>
      <c r="L23" s="12"/>
      <c r="M23" s="12" t="s">
        <v>55</v>
      </c>
      <c r="N23" s="18">
        <f>DATEDIF('Stratégie de Communication'!$C$8,C23,"m")+1</f>
        <v>1</v>
      </c>
    </row>
    <row r="24" spans="1:14" ht="30" customHeight="1" x14ac:dyDescent="0.3">
      <c r="A24" s="33"/>
      <c r="B24" s="15" t="str">
        <f t="shared" si="0"/>
        <v>Vendredi</v>
      </c>
      <c r="C24" s="16">
        <f>'Stratégie de Communication'!$C$8+18</f>
        <v>46437</v>
      </c>
      <c r="D24" s="15" t="str">
        <f t="shared" si="1"/>
        <v>février 2027</v>
      </c>
      <c r="E24" s="12"/>
      <c r="F24" s="12"/>
      <c r="G24" s="12"/>
      <c r="H24" s="12"/>
      <c r="I24" s="12"/>
      <c r="J24" s="12"/>
      <c r="K24" s="17"/>
      <c r="L24" s="12"/>
      <c r="M24" s="12" t="s">
        <v>55</v>
      </c>
      <c r="N24" s="18">
        <f>DATEDIF('Stratégie de Communication'!$C$8,C24,"m")+1</f>
        <v>1</v>
      </c>
    </row>
    <row r="25" spans="1:14" ht="30" customHeight="1" x14ac:dyDescent="0.3">
      <c r="A25" s="33"/>
      <c r="B25" s="15" t="str">
        <f t="shared" si="0"/>
        <v>Samedi</v>
      </c>
      <c r="C25" s="16">
        <f>'Stratégie de Communication'!$C$8+19</f>
        <v>46438</v>
      </c>
      <c r="D25" s="15" t="str">
        <f t="shared" si="1"/>
        <v>février 2027</v>
      </c>
      <c r="E25" s="12"/>
      <c r="F25" s="12"/>
      <c r="G25" s="12"/>
      <c r="H25" s="12"/>
      <c r="I25" s="12"/>
      <c r="J25" s="12"/>
      <c r="K25" s="17"/>
      <c r="L25" s="12"/>
      <c r="M25" s="12" t="s">
        <v>55</v>
      </c>
      <c r="N25" s="18">
        <f>DATEDIF('Stratégie de Communication'!$C$8,C25,"m")+1</f>
        <v>1</v>
      </c>
    </row>
    <row r="26" spans="1:14" ht="30" customHeight="1" x14ac:dyDescent="0.3">
      <c r="A26" s="33"/>
      <c r="B26" s="15" t="str">
        <f t="shared" si="0"/>
        <v>Dimanche</v>
      </c>
      <c r="C26" s="16">
        <f>'Stratégie de Communication'!$C$8+20</f>
        <v>46439</v>
      </c>
      <c r="D26" s="15" t="str">
        <f t="shared" si="1"/>
        <v>février 2027</v>
      </c>
      <c r="E26" s="12"/>
      <c r="F26" s="12"/>
      <c r="G26" s="12"/>
      <c r="H26" s="12"/>
      <c r="I26" s="12"/>
      <c r="J26" s="12"/>
      <c r="K26" s="17"/>
      <c r="L26" s="12"/>
      <c r="M26" s="12" t="s">
        <v>55</v>
      </c>
      <c r="N26" s="18">
        <f>DATEDIF('Stratégie de Communication'!$C$8,C26,"m")+1</f>
        <v>1</v>
      </c>
    </row>
    <row r="27" spans="1:14" ht="30" customHeight="1" x14ac:dyDescent="0.3">
      <c r="A27" s="33">
        <v>4</v>
      </c>
      <c r="B27" s="19" t="str">
        <f t="shared" si="0"/>
        <v>Lundi</v>
      </c>
      <c r="C27" s="20">
        <f>'Stratégie de Communication'!$C$8+21</f>
        <v>46440</v>
      </c>
      <c r="D27" s="19" t="str">
        <f t="shared" si="1"/>
        <v>février 2027</v>
      </c>
      <c r="E27" s="12"/>
      <c r="F27" s="12"/>
      <c r="G27" s="12"/>
      <c r="H27" s="12"/>
      <c r="I27" s="12"/>
      <c r="J27" s="12"/>
      <c r="K27" s="17"/>
      <c r="L27" s="12"/>
      <c r="M27" s="12" t="s">
        <v>55</v>
      </c>
      <c r="N27" s="18">
        <f>DATEDIF('Stratégie de Communication'!$C$8,C27,"m")+1</f>
        <v>1</v>
      </c>
    </row>
    <row r="28" spans="1:14" ht="30" customHeight="1" x14ac:dyDescent="0.3">
      <c r="A28" s="33"/>
      <c r="B28" s="19" t="str">
        <f t="shared" si="0"/>
        <v>Mardi</v>
      </c>
      <c r="C28" s="20">
        <f>'Stratégie de Communication'!$C$8+22</f>
        <v>46441</v>
      </c>
      <c r="D28" s="19" t="str">
        <f t="shared" si="1"/>
        <v>février 2027</v>
      </c>
      <c r="E28" s="12"/>
      <c r="F28" s="12"/>
      <c r="G28" s="12"/>
      <c r="H28" s="12"/>
      <c r="I28" s="12"/>
      <c r="J28" s="12"/>
      <c r="K28" s="17"/>
      <c r="L28" s="12"/>
      <c r="M28" s="12" t="s">
        <v>55</v>
      </c>
      <c r="N28" s="18">
        <f>DATEDIF('Stratégie de Communication'!$C$8,C28,"m")+1</f>
        <v>1</v>
      </c>
    </row>
    <row r="29" spans="1:14" ht="30" customHeight="1" x14ac:dyDescent="0.3">
      <c r="A29" s="33"/>
      <c r="B29" s="19" t="str">
        <f t="shared" si="0"/>
        <v>Mercredi</v>
      </c>
      <c r="C29" s="20">
        <f>'Stratégie de Communication'!$C$8+23</f>
        <v>46442</v>
      </c>
      <c r="D29" s="19" t="str">
        <f t="shared" si="1"/>
        <v>février 2027</v>
      </c>
      <c r="E29" s="12"/>
      <c r="F29" s="12"/>
      <c r="G29" s="12"/>
      <c r="H29" s="12"/>
      <c r="I29" s="12"/>
      <c r="J29" s="12"/>
      <c r="K29" s="17"/>
      <c r="L29" s="12"/>
      <c r="M29" s="12" t="s">
        <v>55</v>
      </c>
      <c r="N29" s="18">
        <f>DATEDIF('Stratégie de Communication'!$C$8,C29,"m")+1</f>
        <v>1</v>
      </c>
    </row>
    <row r="30" spans="1:14" ht="30" customHeight="1" x14ac:dyDescent="0.3">
      <c r="A30" s="33"/>
      <c r="B30" s="19" t="str">
        <f t="shared" si="0"/>
        <v>Jeudi</v>
      </c>
      <c r="C30" s="20">
        <f>'Stratégie de Communication'!$C$8+24</f>
        <v>46443</v>
      </c>
      <c r="D30" s="19" t="str">
        <f t="shared" si="1"/>
        <v>février 2027</v>
      </c>
      <c r="E30" s="12"/>
      <c r="F30" s="12"/>
      <c r="G30" s="12"/>
      <c r="H30" s="12"/>
      <c r="I30" s="12"/>
      <c r="J30" s="12"/>
      <c r="K30" s="17"/>
      <c r="L30" s="12"/>
      <c r="M30" s="12" t="s">
        <v>55</v>
      </c>
      <c r="N30" s="18">
        <f>DATEDIF('Stratégie de Communication'!$C$8,C30,"m")+1</f>
        <v>1</v>
      </c>
    </row>
    <row r="31" spans="1:14" ht="30" customHeight="1" x14ac:dyDescent="0.3">
      <c r="A31" s="33"/>
      <c r="B31" s="19" t="str">
        <f t="shared" si="0"/>
        <v>Vendredi</v>
      </c>
      <c r="C31" s="20">
        <f>'Stratégie de Communication'!$C$8+25</f>
        <v>46444</v>
      </c>
      <c r="D31" s="19" t="str">
        <f t="shared" si="1"/>
        <v>février 2027</v>
      </c>
      <c r="E31" s="12"/>
      <c r="F31" s="12"/>
      <c r="G31" s="12"/>
      <c r="H31" s="12"/>
      <c r="I31" s="12"/>
      <c r="J31" s="12"/>
      <c r="K31" s="17"/>
      <c r="L31" s="12"/>
      <c r="M31" s="12" t="s">
        <v>55</v>
      </c>
      <c r="N31" s="18">
        <f>DATEDIF('Stratégie de Communication'!$C$8,C31,"m")+1</f>
        <v>1</v>
      </c>
    </row>
    <row r="32" spans="1:14" ht="30" customHeight="1" x14ac:dyDescent="0.3">
      <c r="A32" s="33"/>
      <c r="B32" s="19" t="str">
        <f t="shared" si="0"/>
        <v>Samedi</v>
      </c>
      <c r="C32" s="20">
        <f>'Stratégie de Communication'!$C$8+26</f>
        <v>46445</v>
      </c>
      <c r="D32" s="19" t="str">
        <f t="shared" si="1"/>
        <v>février 2027</v>
      </c>
      <c r="E32" s="12"/>
      <c r="F32" s="12"/>
      <c r="G32" s="12"/>
      <c r="H32" s="12"/>
      <c r="I32" s="12"/>
      <c r="J32" s="12"/>
      <c r="K32" s="17"/>
      <c r="L32" s="12"/>
      <c r="M32" s="12" t="s">
        <v>55</v>
      </c>
      <c r="N32" s="18">
        <f>DATEDIF('Stratégie de Communication'!$C$8,C32,"m")+1</f>
        <v>1</v>
      </c>
    </row>
    <row r="33" spans="1:14" ht="30" customHeight="1" x14ac:dyDescent="0.3">
      <c r="A33" s="33"/>
      <c r="B33" s="19" t="str">
        <f t="shared" si="0"/>
        <v>Dimanche</v>
      </c>
      <c r="C33" s="20">
        <f>'Stratégie de Communication'!$C$8+27</f>
        <v>46446</v>
      </c>
      <c r="D33" s="19" t="str">
        <f t="shared" si="1"/>
        <v>février 2027</v>
      </c>
      <c r="E33" s="12"/>
      <c r="F33" s="12"/>
      <c r="G33" s="12"/>
      <c r="H33" s="12"/>
      <c r="I33" s="12"/>
      <c r="J33" s="12"/>
      <c r="K33" s="17"/>
      <c r="L33" s="12"/>
      <c r="M33" s="12" t="s">
        <v>55</v>
      </c>
      <c r="N33" s="18">
        <f>DATEDIF('Stratégie de Communication'!$C$8,C33,"m")+1</f>
        <v>1</v>
      </c>
    </row>
    <row r="34" spans="1:14" ht="30" customHeight="1" x14ac:dyDescent="0.3">
      <c r="A34" s="33">
        <v>5</v>
      </c>
      <c r="B34" s="15" t="str">
        <f t="shared" si="0"/>
        <v>Lundi</v>
      </c>
      <c r="C34" s="16">
        <f>'Stratégie de Communication'!$C$8+28</f>
        <v>46447</v>
      </c>
      <c r="D34" s="15" t="str">
        <f t="shared" si="1"/>
        <v>mars 2027</v>
      </c>
      <c r="E34" s="12"/>
      <c r="F34" s="12"/>
      <c r="G34" s="12"/>
      <c r="H34" s="12"/>
      <c r="I34" s="12"/>
      <c r="J34" s="12"/>
      <c r="K34" s="17"/>
      <c r="L34" s="12"/>
      <c r="M34" s="12" t="s">
        <v>55</v>
      </c>
      <c r="N34" s="18">
        <f>DATEDIF('Stratégie de Communication'!$C$8,C34,"m")+1</f>
        <v>2</v>
      </c>
    </row>
    <row r="35" spans="1:14" ht="30" customHeight="1" x14ac:dyDescent="0.3">
      <c r="A35" s="33"/>
      <c r="B35" s="15" t="str">
        <f t="shared" si="0"/>
        <v>Mardi</v>
      </c>
      <c r="C35" s="16">
        <f>'Stratégie de Communication'!$C$8+29</f>
        <v>46448</v>
      </c>
      <c r="D35" s="15" t="str">
        <f t="shared" si="1"/>
        <v>mars 2027</v>
      </c>
      <c r="E35" s="12"/>
      <c r="F35" s="12"/>
      <c r="G35" s="12"/>
      <c r="H35" s="12"/>
      <c r="I35" s="12"/>
      <c r="J35" s="12"/>
      <c r="K35" s="17"/>
      <c r="L35" s="12"/>
      <c r="M35" s="12" t="s">
        <v>55</v>
      </c>
      <c r="N35" s="18">
        <f>DATEDIF('Stratégie de Communication'!$C$8,C35,"m")+1</f>
        <v>2</v>
      </c>
    </row>
    <row r="36" spans="1:14" ht="30" customHeight="1" x14ac:dyDescent="0.3">
      <c r="A36" s="33"/>
      <c r="B36" s="15" t="str">
        <f t="shared" si="0"/>
        <v>Mercredi</v>
      </c>
      <c r="C36" s="16">
        <f>'Stratégie de Communication'!$C$8+30</f>
        <v>46449</v>
      </c>
      <c r="D36" s="15" t="str">
        <f t="shared" si="1"/>
        <v>mars 2027</v>
      </c>
      <c r="E36" s="12"/>
      <c r="F36" s="12"/>
      <c r="G36" s="12"/>
      <c r="H36" s="12"/>
      <c r="I36" s="12"/>
      <c r="J36" s="12"/>
      <c r="K36" s="17"/>
      <c r="L36" s="12"/>
      <c r="M36" s="12" t="s">
        <v>55</v>
      </c>
      <c r="N36" s="18">
        <f>DATEDIF('Stratégie de Communication'!$C$8,C36,"m")+1</f>
        <v>2</v>
      </c>
    </row>
    <row r="37" spans="1:14" ht="30" customHeight="1" x14ac:dyDescent="0.3">
      <c r="A37" s="33"/>
      <c r="B37" s="15" t="str">
        <f t="shared" si="0"/>
        <v>Jeudi</v>
      </c>
      <c r="C37" s="16">
        <f>'Stratégie de Communication'!$C$8+31</f>
        <v>46450</v>
      </c>
      <c r="D37" s="15" t="str">
        <f t="shared" si="1"/>
        <v>mars 2027</v>
      </c>
      <c r="E37" s="12"/>
      <c r="F37" s="12"/>
      <c r="G37" s="12"/>
      <c r="H37" s="12"/>
      <c r="I37" s="12"/>
      <c r="J37" s="12"/>
      <c r="K37" s="17"/>
      <c r="L37" s="12"/>
      <c r="M37" s="12" t="s">
        <v>55</v>
      </c>
      <c r="N37" s="18">
        <f>DATEDIF('Stratégie de Communication'!$C$8,C37,"m")+1</f>
        <v>2</v>
      </c>
    </row>
    <row r="38" spans="1:14" ht="30" customHeight="1" x14ac:dyDescent="0.3">
      <c r="A38" s="33"/>
      <c r="B38" s="15" t="str">
        <f t="shared" ref="B38:B69" si="2">CHOOSE(WEEKDAY(C38,2),"Lundi","Mardi","Mercredi","Jeudi","Vendredi","Samedi","Dimanche")</f>
        <v>Vendredi</v>
      </c>
      <c r="C38" s="16">
        <f>'Stratégie de Communication'!$C$8+32</f>
        <v>46451</v>
      </c>
      <c r="D38" s="15" t="str">
        <f t="shared" ref="D38:D69" si="3">CHOOSE(MONTH(C38),"janvier","février","mars","avril","mai","juin","juillet","août","septembre","octobre","novembre","décembre")&amp;" "&amp;YEAR(C38)</f>
        <v>mars 2027</v>
      </c>
      <c r="E38" s="12"/>
      <c r="F38" s="12"/>
      <c r="G38" s="12"/>
      <c r="H38" s="12"/>
      <c r="I38" s="12"/>
      <c r="J38" s="12"/>
      <c r="K38" s="17"/>
      <c r="L38" s="12"/>
      <c r="M38" s="12" t="s">
        <v>55</v>
      </c>
      <c r="N38" s="18">
        <f>DATEDIF('Stratégie de Communication'!$C$8,C38,"m")+1</f>
        <v>2</v>
      </c>
    </row>
    <row r="39" spans="1:14" ht="30" customHeight="1" x14ac:dyDescent="0.3">
      <c r="A39" s="33"/>
      <c r="B39" s="15" t="str">
        <f t="shared" si="2"/>
        <v>Samedi</v>
      </c>
      <c r="C39" s="16">
        <f>'Stratégie de Communication'!$C$8+33</f>
        <v>46452</v>
      </c>
      <c r="D39" s="15" t="str">
        <f t="shared" si="3"/>
        <v>mars 2027</v>
      </c>
      <c r="E39" s="12"/>
      <c r="F39" s="12"/>
      <c r="G39" s="12"/>
      <c r="H39" s="12"/>
      <c r="I39" s="12"/>
      <c r="J39" s="12"/>
      <c r="K39" s="17"/>
      <c r="L39" s="12"/>
      <c r="M39" s="12" t="s">
        <v>55</v>
      </c>
      <c r="N39" s="18">
        <f>DATEDIF('Stratégie de Communication'!$C$8,C39,"m")+1</f>
        <v>2</v>
      </c>
    </row>
    <row r="40" spans="1:14" ht="30" customHeight="1" x14ac:dyDescent="0.3">
      <c r="A40" s="33"/>
      <c r="B40" s="15" t="str">
        <f t="shared" si="2"/>
        <v>Dimanche</v>
      </c>
      <c r="C40" s="16">
        <f>'Stratégie de Communication'!$C$8+34</f>
        <v>46453</v>
      </c>
      <c r="D40" s="15" t="str">
        <f t="shared" si="3"/>
        <v>mars 2027</v>
      </c>
      <c r="E40" s="12"/>
      <c r="F40" s="12"/>
      <c r="G40" s="12"/>
      <c r="H40" s="12"/>
      <c r="I40" s="12"/>
      <c r="J40" s="12"/>
      <c r="K40" s="17"/>
      <c r="L40" s="12"/>
      <c r="M40" s="12" t="s">
        <v>55</v>
      </c>
      <c r="N40" s="18">
        <f>DATEDIF('Stratégie de Communication'!$C$8,C40,"m")+1</f>
        <v>2</v>
      </c>
    </row>
    <row r="41" spans="1:14" ht="30" customHeight="1" x14ac:dyDescent="0.3">
      <c r="A41" s="33">
        <v>6</v>
      </c>
      <c r="B41" s="19" t="str">
        <f t="shared" si="2"/>
        <v>Lundi</v>
      </c>
      <c r="C41" s="20">
        <f>'Stratégie de Communication'!$C$8+35</f>
        <v>46454</v>
      </c>
      <c r="D41" s="19" t="str">
        <f t="shared" si="3"/>
        <v>mars 2027</v>
      </c>
      <c r="E41" s="12"/>
      <c r="F41" s="12"/>
      <c r="G41" s="12"/>
      <c r="H41" s="12"/>
      <c r="I41" s="12"/>
      <c r="J41" s="12"/>
      <c r="K41" s="17"/>
      <c r="L41" s="12"/>
      <c r="M41" s="12" t="s">
        <v>55</v>
      </c>
      <c r="N41" s="18">
        <f>DATEDIF('Stratégie de Communication'!$C$8,C41,"m")+1</f>
        <v>2</v>
      </c>
    </row>
    <row r="42" spans="1:14" ht="30" customHeight="1" x14ac:dyDescent="0.3">
      <c r="A42" s="33"/>
      <c r="B42" s="19" t="str">
        <f t="shared" si="2"/>
        <v>Mardi</v>
      </c>
      <c r="C42" s="20">
        <f>'Stratégie de Communication'!$C$8+36</f>
        <v>46455</v>
      </c>
      <c r="D42" s="19" t="str">
        <f t="shared" si="3"/>
        <v>mars 2027</v>
      </c>
      <c r="E42" s="12"/>
      <c r="F42" s="12"/>
      <c r="G42" s="12"/>
      <c r="H42" s="12"/>
      <c r="I42" s="12"/>
      <c r="J42" s="12"/>
      <c r="K42" s="17"/>
      <c r="L42" s="12"/>
      <c r="M42" s="12" t="s">
        <v>55</v>
      </c>
      <c r="N42" s="18">
        <f>DATEDIF('Stratégie de Communication'!$C$8,C42,"m")+1</f>
        <v>2</v>
      </c>
    </row>
    <row r="43" spans="1:14" ht="30" customHeight="1" x14ac:dyDescent="0.3">
      <c r="A43" s="33"/>
      <c r="B43" s="19" t="str">
        <f t="shared" si="2"/>
        <v>Mercredi</v>
      </c>
      <c r="C43" s="20">
        <f>'Stratégie de Communication'!$C$8+37</f>
        <v>46456</v>
      </c>
      <c r="D43" s="19" t="str">
        <f t="shared" si="3"/>
        <v>mars 2027</v>
      </c>
      <c r="E43" s="12"/>
      <c r="F43" s="12"/>
      <c r="G43" s="12"/>
      <c r="H43" s="12"/>
      <c r="I43" s="12"/>
      <c r="J43" s="12"/>
      <c r="K43" s="17"/>
      <c r="L43" s="12"/>
      <c r="M43" s="12" t="s">
        <v>55</v>
      </c>
      <c r="N43" s="18">
        <f>DATEDIF('Stratégie de Communication'!$C$8,C43,"m")+1</f>
        <v>2</v>
      </c>
    </row>
    <row r="44" spans="1:14" ht="30" customHeight="1" x14ac:dyDescent="0.3">
      <c r="A44" s="33"/>
      <c r="B44" s="19" t="str">
        <f t="shared" si="2"/>
        <v>Jeudi</v>
      </c>
      <c r="C44" s="20">
        <f>'Stratégie de Communication'!$C$8+38</f>
        <v>46457</v>
      </c>
      <c r="D44" s="19" t="str">
        <f t="shared" si="3"/>
        <v>mars 2027</v>
      </c>
      <c r="E44" s="12"/>
      <c r="F44" s="12"/>
      <c r="G44" s="12"/>
      <c r="H44" s="12"/>
      <c r="I44" s="12"/>
      <c r="J44" s="12"/>
      <c r="K44" s="17"/>
      <c r="L44" s="12"/>
      <c r="M44" s="12" t="s">
        <v>55</v>
      </c>
      <c r="N44" s="18">
        <f>DATEDIF('Stratégie de Communication'!$C$8,C44,"m")+1</f>
        <v>2</v>
      </c>
    </row>
    <row r="45" spans="1:14" ht="30" customHeight="1" x14ac:dyDescent="0.3">
      <c r="A45" s="33"/>
      <c r="B45" s="19" t="str">
        <f t="shared" si="2"/>
        <v>Vendredi</v>
      </c>
      <c r="C45" s="20">
        <f>'Stratégie de Communication'!$C$8+39</f>
        <v>46458</v>
      </c>
      <c r="D45" s="19" t="str">
        <f t="shared" si="3"/>
        <v>mars 2027</v>
      </c>
      <c r="E45" s="12"/>
      <c r="F45" s="12"/>
      <c r="G45" s="12"/>
      <c r="H45" s="12"/>
      <c r="I45" s="12"/>
      <c r="J45" s="12"/>
      <c r="K45" s="17"/>
      <c r="L45" s="12"/>
      <c r="M45" s="12" t="s">
        <v>55</v>
      </c>
      <c r="N45" s="18">
        <f>DATEDIF('Stratégie de Communication'!$C$8,C45,"m")+1</f>
        <v>2</v>
      </c>
    </row>
    <row r="46" spans="1:14" ht="30" customHeight="1" x14ac:dyDescent="0.3">
      <c r="A46" s="33"/>
      <c r="B46" s="19" t="str">
        <f t="shared" si="2"/>
        <v>Samedi</v>
      </c>
      <c r="C46" s="20">
        <f>'Stratégie de Communication'!$C$8+40</f>
        <v>46459</v>
      </c>
      <c r="D46" s="19" t="str">
        <f t="shared" si="3"/>
        <v>mars 2027</v>
      </c>
      <c r="E46" s="12"/>
      <c r="F46" s="12"/>
      <c r="G46" s="12"/>
      <c r="H46" s="12"/>
      <c r="I46" s="12"/>
      <c r="J46" s="12"/>
      <c r="K46" s="17"/>
      <c r="L46" s="12"/>
      <c r="M46" s="12" t="s">
        <v>55</v>
      </c>
      <c r="N46" s="18">
        <f>DATEDIF('Stratégie de Communication'!$C$8,C46,"m")+1</f>
        <v>2</v>
      </c>
    </row>
    <row r="47" spans="1:14" ht="30" customHeight="1" x14ac:dyDescent="0.3">
      <c r="A47" s="33"/>
      <c r="B47" s="19" t="str">
        <f t="shared" si="2"/>
        <v>Dimanche</v>
      </c>
      <c r="C47" s="20">
        <f>'Stratégie de Communication'!$C$8+41</f>
        <v>46460</v>
      </c>
      <c r="D47" s="19" t="str">
        <f t="shared" si="3"/>
        <v>mars 2027</v>
      </c>
      <c r="E47" s="12"/>
      <c r="F47" s="12"/>
      <c r="G47" s="12"/>
      <c r="H47" s="12"/>
      <c r="I47" s="12"/>
      <c r="J47" s="12"/>
      <c r="K47" s="17"/>
      <c r="L47" s="12"/>
      <c r="M47" s="12" t="s">
        <v>55</v>
      </c>
      <c r="N47" s="18">
        <f>DATEDIF('Stratégie de Communication'!$C$8,C47,"m")+1</f>
        <v>2</v>
      </c>
    </row>
    <row r="48" spans="1:14" ht="30" customHeight="1" x14ac:dyDescent="0.3">
      <c r="A48" s="33">
        <v>7</v>
      </c>
      <c r="B48" s="15" t="str">
        <f t="shared" si="2"/>
        <v>Lundi</v>
      </c>
      <c r="C48" s="16">
        <f>'Stratégie de Communication'!$C$8+42</f>
        <v>46461</v>
      </c>
      <c r="D48" s="15" t="str">
        <f t="shared" si="3"/>
        <v>mars 2027</v>
      </c>
      <c r="E48" s="12"/>
      <c r="F48" s="12"/>
      <c r="G48" s="12"/>
      <c r="H48" s="12"/>
      <c r="I48" s="12"/>
      <c r="J48" s="12"/>
      <c r="K48" s="17"/>
      <c r="L48" s="12"/>
      <c r="M48" s="12" t="s">
        <v>55</v>
      </c>
      <c r="N48" s="18">
        <f>DATEDIF('Stratégie de Communication'!$C$8,C48,"m")+1</f>
        <v>2</v>
      </c>
    </row>
    <row r="49" spans="1:14" ht="30" customHeight="1" x14ac:dyDescent="0.3">
      <c r="A49" s="33"/>
      <c r="B49" s="15" t="str">
        <f t="shared" si="2"/>
        <v>Mardi</v>
      </c>
      <c r="C49" s="16">
        <f>'Stratégie de Communication'!$C$8+43</f>
        <v>46462</v>
      </c>
      <c r="D49" s="15" t="str">
        <f t="shared" si="3"/>
        <v>mars 2027</v>
      </c>
      <c r="E49" s="12"/>
      <c r="F49" s="12"/>
      <c r="G49" s="12"/>
      <c r="H49" s="12"/>
      <c r="I49" s="12"/>
      <c r="J49" s="12"/>
      <c r="K49" s="17"/>
      <c r="L49" s="12"/>
      <c r="M49" s="12" t="s">
        <v>55</v>
      </c>
      <c r="N49" s="18">
        <f>DATEDIF('Stratégie de Communication'!$C$8,C49,"m")+1</f>
        <v>2</v>
      </c>
    </row>
    <row r="50" spans="1:14" ht="30" customHeight="1" x14ac:dyDescent="0.3">
      <c r="A50" s="33"/>
      <c r="B50" s="15" t="str">
        <f t="shared" si="2"/>
        <v>Mercredi</v>
      </c>
      <c r="C50" s="16">
        <f>'Stratégie de Communication'!$C$8+44</f>
        <v>46463</v>
      </c>
      <c r="D50" s="15" t="str">
        <f t="shared" si="3"/>
        <v>mars 2027</v>
      </c>
      <c r="E50" s="12"/>
      <c r="F50" s="12"/>
      <c r="G50" s="12"/>
      <c r="H50" s="12"/>
      <c r="I50" s="12"/>
      <c r="J50" s="12"/>
      <c r="K50" s="17"/>
      <c r="L50" s="12"/>
      <c r="M50" s="12" t="s">
        <v>55</v>
      </c>
      <c r="N50" s="18">
        <f>DATEDIF('Stratégie de Communication'!$C$8,C50,"m")+1</f>
        <v>2</v>
      </c>
    </row>
    <row r="51" spans="1:14" ht="30" customHeight="1" x14ac:dyDescent="0.3">
      <c r="A51" s="33"/>
      <c r="B51" s="15" t="str">
        <f t="shared" si="2"/>
        <v>Jeudi</v>
      </c>
      <c r="C51" s="16">
        <f>'Stratégie de Communication'!$C$8+45</f>
        <v>46464</v>
      </c>
      <c r="D51" s="15" t="str">
        <f t="shared" si="3"/>
        <v>mars 2027</v>
      </c>
      <c r="E51" s="12"/>
      <c r="F51" s="12"/>
      <c r="G51" s="12"/>
      <c r="H51" s="12"/>
      <c r="I51" s="12"/>
      <c r="J51" s="12"/>
      <c r="K51" s="17"/>
      <c r="L51" s="12"/>
      <c r="M51" s="12" t="s">
        <v>55</v>
      </c>
      <c r="N51" s="18">
        <f>DATEDIF('Stratégie de Communication'!$C$8,C51,"m")+1</f>
        <v>2</v>
      </c>
    </row>
    <row r="52" spans="1:14" ht="30" customHeight="1" x14ac:dyDescent="0.3">
      <c r="A52" s="33"/>
      <c r="B52" s="15" t="str">
        <f t="shared" si="2"/>
        <v>Vendredi</v>
      </c>
      <c r="C52" s="16">
        <f>'Stratégie de Communication'!$C$8+46</f>
        <v>46465</v>
      </c>
      <c r="D52" s="15" t="str">
        <f t="shared" si="3"/>
        <v>mars 2027</v>
      </c>
      <c r="E52" s="12"/>
      <c r="F52" s="12"/>
      <c r="G52" s="12"/>
      <c r="H52" s="12"/>
      <c r="I52" s="12"/>
      <c r="J52" s="12"/>
      <c r="K52" s="17"/>
      <c r="L52" s="12"/>
      <c r="M52" s="12" t="s">
        <v>55</v>
      </c>
      <c r="N52" s="18">
        <f>DATEDIF('Stratégie de Communication'!$C$8,C52,"m")+1</f>
        <v>2</v>
      </c>
    </row>
    <row r="53" spans="1:14" ht="30" customHeight="1" x14ac:dyDescent="0.3">
      <c r="A53" s="33"/>
      <c r="B53" s="15" t="str">
        <f t="shared" si="2"/>
        <v>Samedi</v>
      </c>
      <c r="C53" s="16">
        <f>'Stratégie de Communication'!$C$8+47</f>
        <v>46466</v>
      </c>
      <c r="D53" s="15" t="str">
        <f t="shared" si="3"/>
        <v>mars 2027</v>
      </c>
      <c r="E53" s="12"/>
      <c r="F53" s="12"/>
      <c r="G53" s="12"/>
      <c r="H53" s="12"/>
      <c r="I53" s="12"/>
      <c r="J53" s="12"/>
      <c r="K53" s="17"/>
      <c r="L53" s="12"/>
      <c r="M53" s="12" t="s">
        <v>55</v>
      </c>
      <c r="N53" s="18">
        <f>DATEDIF('Stratégie de Communication'!$C$8,C53,"m")+1</f>
        <v>2</v>
      </c>
    </row>
    <row r="54" spans="1:14" ht="30" customHeight="1" x14ac:dyDescent="0.3">
      <c r="A54" s="33"/>
      <c r="B54" s="15" t="str">
        <f t="shared" si="2"/>
        <v>Dimanche</v>
      </c>
      <c r="C54" s="16">
        <f>'Stratégie de Communication'!$C$8+48</f>
        <v>46467</v>
      </c>
      <c r="D54" s="15" t="str">
        <f t="shared" si="3"/>
        <v>mars 2027</v>
      </c>
      <c r="E54" s="12"/>
      <c r="F54" s="12"/>
      <c r="G54" s="12"/>
      <c r="H54" s="12"/>
      <c r="I54" s="12"/>
      <c r="J54" s="12"/>
      <c r="K54" s="17"/>
      <c r="L54" s="12"/>
      <c r="M54" s="12" t="s">
        <v>55</v>
      </c>
      <c r="N54" s="18">
        <f>DATEDIF('Stratégie de Communication'!$C$8,C54,"m")+1</f>
        <v>2</v>
      </c>
    </row>
    <row r="55" spans="1:14" ht="30" customHeight="1" x14ac:dyDescent="0.3">
      <c r="A55" s="33">
        <v>8</v>
      </c>
      <c r="B55" s="19" t="str">
        <f t="shared" si="2"/>
        <v>Lundi</v>
      </c>
      <c r="C55" s="20">
        <f>'Stratégie de Communication'!$C$8+49</f>
        <v>46468</v>
      </c>
      <c r="D55" s="19" t="str">
        <f t="shared" si="3"/>
        <v>mars 2027</v>
      </c>
      <c r="E55" s="12"/>
      <c r="F55" s="12"/>
      <c r="G55" s="12"/>
      <c r="H55" s="12"/>
      <c r="I55" s="12"/>
      <c r="J55" s="12"/>
      <c r="K55" s="17"/>
      <c r="L55" s="12"/>
      <c r="M55" s="12" t="s">
        <v>55</v>
      </c>
      <c r="N55" s="18">
        <f>DATEDIF('Stratégie de Communication'!$C$8,C55,"m")+1</f>
        <v>2</v>
      </c>
    </row>
    <row r="56" spans="1:14" ht="30" customHeight="1" x14ac:dyDescent="0.3">
      <c r="A56" s="33"/>
      <c r="B56" s="19" t="str">
        <f t="shared" si="2"/>
        <v>Mardi</v>
      </c>
      <c r="C56" s="20">
        <f>'Stratégie de Communication'!$C$8+50</f>
        <v>46469</v>
      </c>
      <c r="D56" s="19" t="str">
        <f t="shared" si="3"/>
        <v>mars 2027</v>
      </c>
      <c r="E56" s="12"/>
      <c r="F56" s="12"/>
      <c r="G56" s="12"/>
      <c r="H56" s="12"/>
      <c r="I56" s="12"/>
      <c r="J56" s="12"/>
      <c r="K56" s="17"/>
      <c r="L56" s="12"/>
      <c r="M56" s="12" t="s">
        <v>55</v>
      </c>
      <c r="N56" s="18">
        <f>DATEDIF('Stratégie de Communication'!$C$8,C56,"m")+1</f>
        <v>2</v>
      </c>
    </row>
    <row r="57" spans="1:14" ht="30" customHeight="1" x14ac:dyDescent="0.3">
      <c r="A57" s="33"/>
      <c r="B57" s="19" t="str">
        <f t="shared" si="2"/>
        <v>Mercredi</v>
      </c>
      <c r="C57" s="20">
        <f>'Stratégie de Communication'!$C$8+51</f>
        <v>46470</v>
      </c>
      <c r="D57" s="19" t="str">
        <f t="shared" si="3"/>
        <v>mars 2027</v>
      </c>
      <c r="E57" s="12"/>
      <c r="F57" s="12"/>
      <c r="G57" s="12"/>
      <c r="H57" s="12"/>
      <c r="I57" s="12"/>
      <c r="J57" s="12"/>
      <c r="K57" s="17"/>
      <c r="L57" s="12"/>
      <c r="M57" s="12" t="s">
        <v>55</v>
      </c>
      <c r="N57" s="18">
        <f>DATEDIF('Stratégie de Communication'!$C$8,C57,"m")+1</f>
        <v>2</v>
      </c>
    </row>
    <row r="58" spans="1:14" ht="30" customHeight="1" x14ac:dyDescent="0.3">
      <c r="A58" s="33"/>
      <c r="B58" s="19" t="str">
        <f t="shared" si="2"/>
        <v>Jeudi</v>
      </c>
      <c r="C58" s="20">
        <f>'Stratégie de Communication'!$C$8+52</f>
        <v>46471</v>
      </c>
      <c r="D58" s="19" t="str">
        <f t="shared" si="3"/>
        <v>mars 2027</v>
      </c>
      <c r="E58" s="12"/>
      <c r="F58" s="12"/>
      <c r="G58" s="12"/>
      <c r="H58" s="12"/>
      <c r="I58" s="12"/>
      <c r="J58" s="12"/>
      <c r="K58" s="17"/>
      <c r="L58" s="12"/>
      <c r="M58" s="12" t="s">
        <v>55</v>
      </c>
      <c r="N58" s="18">
        <f>DATEDIF('Stratégie de Communication'!$C$8,C58,"m")+1</f>
        <v>2</v>
      </c>
    </row>
    <row r="59" spans="1:14" ht="30" customHeight="1" x14ac:dyDescent="0.3">
      <c r="A59" s="33"/>
      <c r="B59" s="19" t="str">
        <f t="shared" si="2"/>
        <v>Vendredi</v>
      </c>
      <c r="C59" s="20">
        <f>'Stratégie de Communication'!$C$8+53</f>
        <v>46472</v>
      </c>
      <c r="D59" s="19" t="str">
        <f t="shared" si="3"/>
        <v>mars 2027</v>
      </c>
      <c r="E59" s="12"/>
      <c r="F59" s="12"/>
      <c r="G59" s="12"/>
      <c r="H59" s="12"/>
      <c r="I59" s="12"/>
      <c r="J59" s="12"/>
      <c r="K59" s="17"/>
      <c r="L59" s="12"/>
      <c r="M59" s="12" t="s">
        <v>55</v>
      </c>
      <c r="N59" s="18">
        <f>DATEDIF('Stratégie de Communication'!$C$8,C59,"m")+1</f>
        <v>2</v>
      </c>
    </row>
    <row r="60" spans="1:14" ht="30" customHeight="1" x14ac:dyDescent="0.3">
      <c r="A60" s="33"/>
      <c r="B60" s="19" t="str">
        <f t="shared" si="2"/>
        <v>Samedi</v>
      </c>
      <c r="C60" s="20">
        <f>'Stratégie de Communication'!$C$8+54</f>
        <v>46473</v>
      </c>
      <c r="D60" s="19" t="str">
        <f t="shared" si="3"/>
        <v>mars 2027</v>
      </c>
      <c r="E60" s="12"/>
      <c r="F60" s="12"/>
      <c r="G60" s="12"/>
      <c r="H60" s="12"/>
      <c r="I60" s="12"/>
      <c r="J60" s="12"/>
      <c r="K60" s="17"/>
      <c r="L60" s="12"/>
      <c r="M60" s="12" t="s">
        <v>55</v>
      </c>
      <c r="N60" s="18">
        <f>DATEDIF('Stratégie de Communication'!$C$8,C60,"m")+1</f>
        <v>2</v>
      </c>
    </row>
    <row r="61" spans="1:14" ht="30" customHeight="1" x14ac:dyDescent="0.3">
      <c r="A61" s="33"/>
      <c r="B61" s="19" t="str">
        <f t="shared" si="2"/>
        <v>Dimanche</v>
      </c>
      <c r="C61" s="20">
        <f>'Stratégie de Communication'!$C$8+55</f>
        <v>46474</v>
      </c>
      <c r="D61" s="19" t="str">
        <f t="shared" si="3"/>
        <v>mars 2027</v>
      </c>
      <c r="E61" s="12"/>
      <c r="F61" s="12"/>
      <c r="G61" s="12"/>
      <c r="H61" s="12"/>
      <c r="I61" s="12"/>
      <c r="J61" s="12"/>
      <c r="K61" s="17"/>
      <c r="L61" s="12"/>
      <c r="M61" s="12" t="s">
        <v>55</v>
      </c>
      <c r="N61" s="18">
        <f>DATEDIF('Stratégie de Communication'!$C$8,C61,"m")+1</f>
        <v>2</v>
      </c>
    </row>
    <row r="62" spans="1:14" ht="30" customHeight="1" x14ac:dyDescent="0.3">
      <c r="A62" s="33">
        <v>9</v>
      </c>
      <c r="B62" s="15" t="str">
        <f t="shared" si="2"/>
        <v>Lundi</v>
      </c>
      <c r="C62" s="16">
        <f>'Stratégie de Communication'!$C$8+56</f>
        <v>46475</v>
      </c>
      <c r="D62" s="15" t="str">
        <f t="shared" si="3"/>
        <v>mars 2027</v>
      </c>
      <c r="E62" s="12"/>
      <c r="F62" s="12"/>
      <c r="G62" s="12"/>
      <c r="H62" s="12"/>
      <c r="I62" s="12"/>
      <c r="J62" s="12"/>
      <c r="K62" s="17"/>
      <c r="L62" s="12"/>
      <c r="M62" s="12" t="s">
        <v>55</v>
      </c>
      <c r="N62" s="18">
        <f>DATEDIF('Stratégie de Communication'!$C$8,C62,"m")+1</f>
        <v>2</v>
      </c>
    </row>
    <row r="63" spans="1:14" ht="30" customHeight="1" x14ac:dyDescent="0.3">
      <c r="A63" s="33"/>
      <c r="B63" s="15" t="str">
        <f t="shared" si="2"/>
        <v>Mardi</v>
      </c>
      <c r="C63" s="16">
        <f>'Stratégie de Communication'!$C$8+57</f>
        <v>46476</v>
      </c>
      <c r="D63" s="15" t="str">
        <f t="shared" si="3"/>
        <v>mars 2027</v>
      </c>
      <c r="E63" s="12"/>
      <c r="F63" s="12"/>
      <c r="G63" s="12"/>
      <c r="H63" s="12"/>
      <c r="I63" s="12"/>
      <c r="J63" s="12"/>
      <c r="K63" s="17"/>
      <c r="L63" s="12"/>
      <c r="M63" s="12" t="s">
        <v>55</v>
      </c>
      <c r="N63" s="18">
        <f>DATEDIF('Stratégie de Communication'!$C$8,C63,"m")+1</f>
        <v>2</v>
      </c>
    </row>
    <row r="64" spans="1:14" ht="30" customHeight="1" x14ac:dyDescent="0.3">
      <c r="A64" s="33"/>
      <c r="B64" s="15" t="str">
        <f t="shared" si="2"/>
        <v>Mercredi</v>
      </c>
      <c r="C64" s="16">
        <f>'Stratégie de Communication'!$C$8+58</f>
        <v>46477</v>
      </c>
      <c r="D64" s="15" t="str">
        <f t="shared" si="3"/>
        <v>mars 2027</v>
      </c>
      <c r="E64" s="12"/>
      <c r="F64" s="12"/>
      <c r="G64" s="12"/>
      <c r="H64" s="12"/>
      <c r="I64" s="12"/>
      <c r="J64" s="12"/>
      <c r="K64" s="17"/>
      <c r="L64" s="12"/>
      <c r="M64" s="12" t="s">
        <v>55</v>
      </c>
      <c r="N64" s="18">
        <f>DATEDIF('Stratégie de Communication'!$C$8,C64,"m")+1</f>
        <v>2</v>
      </c>
    </row>
    <row r="65" spans="1:14" ht="30" customHeight="1" x14ac:dyDescent="0.3">
      <c r="A65" s="33"/>
      <c r="B65" s="15" t="str">
        <f t="shared" si="2"/>
        <v>Jeudi</v>
      </c>
      <c r="C65" s="16">
        <f>'Stratégie de Communication'!$C$8+59</f>
        <v>46478</v>
      </c>
      <c r="D65" s="15" t="str">
        <f t="shared" si="3"/>
        <v>avril 2027</v>
      </c>
      <c r="E65" s="12"/>
      <c r="F65" s="12"/>
      <c r="G65" s="12"/>
      <c r="H65" s="12"/>
      <c r="I65" s="12"/>
      <c r="J65" s="12"/>
      <c r="K65" s="17"/>
      <c r="L65" s="12"/>
      <c r="M65" s="12" t="s">
        <v>55</v>
      </c>
      <c r="N65" s="18">
        <f>DATEDIF('Stratégie de Communication'!$C$8,C65,"m")+1</f>
        <v>3</v>
      </c>
    </row>
    <row r="66" spans="1:14" ht="30" customHeight="1" x14ac:dyDescent="0.3">
      <c r="A66" s="33"/>
      <c r="B66" s="15" t="str">
        <f t="shared" si="2"/>
        <v>Vendredi</v>
      </c>
      <c r="C66" s="16">
        <f>'Stratégie de Communication'!$C$8+60</f>
        <v>46479</v>
      </c>
      <c r="D66" s="15" t="str">
        <f t="shared" si="3"/>
        <v>avril 2027</v>
      </c>
      <c r="E66" s="12"/>
      <c r="F66" s="12"/>
      <c r="G66" s="12"/>
      <c r="H66" s="12"/>
      <c r="I66" s="12"/>
      <c r="J66" s="12"/>
      <c r="K66" s="17"/>
      <c r="L66" s="12"/>
      <c r="M66" s="12" t="s">
        <v>55</v>
      </c>
      <c r="N66" s="18">
        <f>DATEDIF('Stratégie de Communication'!$C$8,C66,"m")+1</f>
        <v>3</v>
      </c>
    </row>
    <row r="67" spans="1:14" ht="30" customHeight="1" x14ac:dyDescent="0.3">
      <c r="A67" s="33"/>
      <c r="B67" s="15" t="str">
        <f t="shared" si="2"/>
        <v>Samedi</v>
      </c>
      <c r="C67" s="16">
        <f>'Stratégie de Communication'!$C$8+61</f>
        <v>46480</v>
      </c>
      <c r="D67" s="15" t="str">
        <f t="shared" si="3"/>
        <v>avril 2027</v>
      </c>
      <c r="E67" s="12"/>
      <c r="F67" s="12"/>
      <c r="G67" s="12"/>
      <c r="H67" s="12"/>
      <c r="I67" s="12"/>
      <c r="J67" s="12"/>
      <c r="K67" s="17"/>
      <c r="L67" s="12"/>
      <c r="M67" s="12" t="s">
        <v>55</v>
      </c>
      <c r="N67" s="18">
        <f>DATEDIF('Stratégie de Communication'!$C$8,C67,"m")+1</f>
        <v>3</v>
      </c>
    </row>
    <row r="68" spans="1:14" ht="30" customHeight="1" x14ac:dyDescent="0.3">
      <c r="A68" s="33"/>
      <c r="B68" s="15" t="str">
        <f t="shared" si="2"/>
        <v>Dimanche</v>
      </c>
      <c r="C68" s="16">
        <f>'Stratégie de Communication'!$C$8+62</f>
        <v>46481</v>
      </c>
      <c r="D68" s="15" t="str">
        <f t="shared" si="3"/>
        <v>avril 2027</v>
      </c>
      <c r="E68" s="12"/>
      <c r="F68" s="12"/>
      <c r="G68" s="12"/>
      <c r="H68" s="12"/>
      <c r="I68" s="12"/>
      <c r="J68" s="12"/>
      <c r="K68" s="17"/>
      <c r="L68" s="12"/>
      <c r="M68" s="12" t="s">
        <v>55</v>
      </c>
      <c r="N68" s="18">
        <f>DATEDIF('Stratégie de Communication'!$C$8,C68,"m")+1</f>
        <v>3</v>
      </c>
    </row>
    <row r="69" spans="1:14" ht="30" customHeight="1" x14ac:dyDescent="0.3">
      <c r="A69" s="33">
        <v>10</v>
      </c>
      <c r="B69" s="19" t="str">
        <f t="shared" si="2"/>
        <v>Lundi</v>
      </c>
      <c r="C69" s="20">
        <f>'Stratégie de Communication'!$C$8+63</f>
        <v>46482</v>
      </c>
      <c r="D69" s="19" t="str">
        <f t="shared" si="3"/>
        <v>avril 2027</v>
      </c>
      <c r="E69" s="12"/>
      <c r="F69" s="12"/>
      <c r="G69" s="12"/>
      <c r="H69" s="12"/>
      <c r="I69" s="12"/>
      <c r="J69" s="12"/>
      <c r="K69" s="17"/>
      <c r="L69" s="12"/>
      <c r="M69" s="12" t="s">
        <v>55</v>
      </c>
      <c r="N69" s="18">
        <f>DATEDIF('Stratégie de Communication'!$C$8,C69,"m")+1</f>
        <v>3</v>
      </c>
    </row>
    <row r="70" spans="1:14" ht="30" customHeight="1" x14ac:dyDescent="0.3">
      <c r="A70" s="33"/>
      <c r="B70" s="19" t="str">
        <f t="shared" ref="B70:B101" si="4">CHOOSE(WEEKDAY(C70,2),"Lundi","Mardi","Mercredi","Jeudi","Vendredi","Samedi","Dimanche")</f>
        <v>Mardi</v>
      </c>
      <c r="C70" s="20">
        <f>'Stratégie de Communication'!$C$8+64</f>
        <v>46483</v>
      </c>
      <c r="D70" s="19" t="str">
        <f t="shared" ref="D70:D101" si="5">CHOOSE(MONTH(C70),"janvier","février","mars","avril","mai","juin","juillet","août","septembre","octobre","novembre","décembre")&amp;" "&amp;YEAR(C70)</f>
        <v>avril 2027</v>
      </c>
      <c r="E70" s="12"/>
      <c r="F70" s="12"/>
      <c r="G70" s="12"/>
      <c r="H70" s="12"/>
      <c r="I70" s="12"/>
      <c r="J70" s="12"/>
      <c r="K70" s="17"/>
      <c r="L70" s="12"/>
      <c r="M70" s="12" t="s">
        <v>55</v>
      </c>
      <c r="N70" s="18">
        <f>DATEDIF('Stratégie de Communication'!$C$8,C70,"m")+1</f>
        <v>3</v>
      </c>
    </row>
    <row r="71" spans="1:14" ht="30" customHeight="1" x14ac:dyDescent="0.3">
      <c r="A71" s="33"/>
      <c r="B71" s="19" t="str">
        <f t="shared" si="4"/>
        <v>Mercredi</v>
      </c>
      <c r="C71" s="20">
        <f>'Stratégie de Communication'!$C$8+65</f>
        <v>46484</v>
      </c>
      <c r="D71" s="19" t="str">
        <f t="shared" si="5"/>
        <v>avril 2027</v>
      </c>
      <c r="E71" s="12"/>
      <c r="F71" s="12"/>
      <c r="G71" s="12"/>
      <c r="H71" s="12"/>
      <c r="I71" s="12"/>
      <c r="J71" s="12"/>
      <c r="K71" s="17"/>
      <c r="L71" s="12"/>
      <c r="M71" s="12" t="s">
        <v>55</v>
      </c>
      <c r="N71" s="18">
        <f>DATEDIF('Stratégie de Communication'!$C$8,C71,"m")+1</f>
        <v>3</v>
      </c>
    </row>
    <row r="72" spans="1:14" ht="30" customHeight="1" x14ac:dyDescent="0.3">
      <c r="A72" s="33"/>
      <c r="B72" s="19" t="str">
        <f t="shared" si="4"/>
        <v>Jeudi</v>
      </c>
      <c r="C72" s="20">
        <f>'Stratégie de Communication'!$C$8+66</f>
        <v>46485</v>
      </c>
      <c r="D72" s="19" t="str">
        <f t="shared" si="5"/>
        <v>avril 2027</v>
      </c>
      <c r="E72" s="12"/>
      <c r="F72" s="12"/>
      <c r="G72" s="12"/>
      <c r="H72" s="12"/>
      <c r="I72" s="12"/>
      <c r="J72" s="12"/>
      <c r="K72" s="17"/>
      <c r="L72" s="12"/>
      <c r="M72" s="12" t="s">
        <v>55</v>
      </c>
      <c r="N72" s="18">
        <f>DATEDIF('Stratégie de Communication'!$C$8,C72,"m")+1</f>
        <v>3</v>
      </c>
    </row>
    <row r="73" spans="1:14" ht="30" customHeight="1" x14ac:dyDescent="0.3">
      <c r="A73" s="33"/>
      <c r="B73" s="19" t="str">
        <f t="shared" si="4"/>
        <v>Vendredi</v>
      </c>
      <c r="C73" s="20">
        <f>'Stratégie de Communication'!$C$8+67</f>
        <v>46486</v>
      </c>
      <c r="D73" s="19" t="str">
        <f t="shared" si="5"/>
        <v>avril 2027</v>
      </c>
      <c r="E73" s="12"/>
      <c r="F73" s="12"/>
      <c r="G73" s="12"/>
      <c r="H73" s="12"/>
      <c r="I73" s="12"/>
      <c r="J73" s="12"/>
      <c r="K73" s="17"/>
      <c r="L73" s="12"/>
      <c r="M73" s="12" t="s">
        <v>55</v>
      </c>
      <c r="N73" s="18">
        <f>DATEDIF('Stratégie de Communication'!$C$8,C73,"m")+1</f>
        <v>3</v>
      </c>
    </row>
    <row r="74" spans="1:14" ht="30" customHeight="1" x14ac:dyDescent="0.3">
      <c r="A74" s="33"/>
      <c r="B74" s="19" t="str">
        <f t="shared" si="4"/>
        <v>Samedi</v>
      </c>
      <c r="C74" s="20">
        <f>'Stratégie de Communication'!$C$8+68</f>
        <v>46487</v>
      </c>
      <c r="D74" s="19" t="str">
        <f t="shared" si="5"/>
        <v>avril 2027</v>
      </c>
      <c r="E74" s="12"/>
      <c r="F74" s="12"/>
      <c r="G74" s="12"/>
      <c r="H74" s="12"/>
      <c r="I74" s="12"/>
      <c r="J74" s="12"/>
      <c r="K74" s="17"/>
      <c r="L74" s="12"/>
      <c r="M74" s="12" t="s">
        <v>55</v>
      </c>
      <c r="N74" s="18">
        <f>DATEDIF('Stratégie de Communication'!$C$8,C74,"m")+1</f>
        <v>3</v>
      </c>
    </row>
    <row r="75" spans="1:14" ht="30" customHeight="1" x14ac:dyDescent="0.3">
      <c r="A75" s="33"/>
      <c r="B75" s="19" t="str">
        <f t="shared" si="4"/>
        <v>Dimanche</v>
      </c>
      <c r="C75" s="20">
        <f>'Stratégie de Communication'!$C$8+69</f>
        <v>46488</v>
      </c>
      <c r="D75" s="19" t="str">
        <f t="shared" si="5"/>
        <v>avril 2027</v>
      </c>
      <c r="E75" s="12"/>
      <c r="F75" s="12"/>
      <c r="G75" s="12"/>
      <c r="H75" s="12"/>
      <c r="I75" s="12"/>
      <c r="J75" s="12"/>
      <c r="K75" s="17"/>
      <c r="L75" s="12"/>
      <c r="M75" s="12" t="s">
        <v>55</v>
      </c>
      <c r="N75" s="18">
        <f>DATEDIF('Stratégie de Communication'!$C$8,C75,"m")+1</f>
        <v>3</v>
      </c>
    </row>
    <row r="76" spans="1:14" ht="30" customHeight="1" x14ac:dyDescent="0.3">
      <c r="A76" s="33">
        <v>11</v>
      </c>
      <c r="B76" s="15" t="str">
        <f t="shared" si="4"/>
        <v>Lundi</v>
      </c>
      <c r="C76" s="16">
        <f>'Stratégie de Communication'!$C$8+70</f>
        <v>46489</v>
      </c>
      <c r="D76" s="15" t="str">
        <f t="shared" si="5"/>
        <v>avril 2027</v>
      </c>
      <c r="E76" s="12"/>
      <c r="F76" s="12"/>
      <c r="G76" s="12"/>
      <c r="H76" s="12"/>
      <c r="I76" s="12"/>
      <c r="J76" s="12"/>
      <c r="K76" s="17"/>
      <c r="L76" s="12"/>
      <c r="M76" s="12" t="s">
        <v>55</v>
      </c>
      <c r="N76" s="18">
        <f>DATEDIF('Stratégie de Communication'!$C$8,C76,"m")+1</f>
        <v>3</v>
      </c>
    </row>
    <row r="77" spans="1:14" ht="30" customHeight="1" x14ac:dyDescent="0.3">
      <c r="A77" s="33"/>
      <c r="B77" s="15" t="str">
        <f t="shared" si="4"/>
        <v>Mardi</v>
      </c>
      <c r="C77" s="16">
        <f>'Stratégie de Communication'!$C$8+71</f>
        <v>46490</v>
      </c>
      <c r="D77" s="15" t="str">
        <f t="shared" si="5"/>
        <v>avril 2027</v>
      </c>
      <c r="E77" s="12"/>
      <c r="F77" s="12"/>
      <c r="G77" s="12"/>
      <c r="H77" s="12"/>
      <c r="I77" s="12"/>
      <c r="J77" s="12"/>
      <c r="K77" s="17"/>
      <c r="L77" s="12"/>
      <c r="M77" s="12" t="s">
        <v>55</v>
      </c>
      <c r="N77" s="18">
        <f>DATEDIF('Stratégie de Communication'!$C$8,C77,"m")+1</f>
        <v>3</v>
      </c>
    </row>
    <row r="78" spans="1:14" ht="30" customHeight="1" x14ac:dyDescent="0.3">
      <c r="A78" s="33"/>
      <c r="B78" s="15" t="str">
        <f t="shared" si="4"/>
        <v>Mercredi</v>
      </c>
      <c r="C78" s="16">
        <f>'Stratégie de Communication'!$C$8+72</f>
        <v>46491</v>
      </c>
      <c r="D78" s="15" t="str">
        <f t="shared" si="5"/>
        <v>avril 2027</v>
      </c>
      <c r="E78" s="12"/>
      <c r="F78" s="12"/>
      <c r="G78" s="12"/>
      <c r="H78" s="12"/>
      <c r="I78" s="12"/>
      <c r="J78" s="12"/>
      <c r="K78" s="17"/>
      <c r="L78" s="12"/>
      <c r="M78" s="12" t="s">
        <v>55</v>
      </c>
      <c r="N78" s="18">
        <f>DATEDIF('Stratégie de Communication'!$C$8,C78,"m")+1</f>
        <v>3</v>
      </c>
    </row>
    <row r="79" spans="1:14" ht="30" customHeight="1" x14ac:dyDescent="0.3">
      <c r="A79" s="33"/>
      <c r="B79" s="15" t="str">
        <f t="shared" si="4"/>
        <v>Jeudi</v>
      </c>
      <c r="C79" s="16">
        <f>'Stratégie de Communication'!$C$8+73</f>
        <v>46492</v>
      </c>
      <c r="D79" s="15" t="str">
        <f t="shared" si="5"/>
        <v>avril 2027</v>
      </c>
      <c r="E79" s="12"/>
      <c r="F79" s="12"/>
      <c r="G79" s="12"/>
      <c r="H79" s="12"/>
      <c r="I79" s="12"/>
      <c r="J79" s="12"/>
      <c r="K79" s="17"/>
      <c r="L79" s="12"/>
      <c r="M79" s="12" t="s">
        <v>55</v>
      </c>
      <c r="N79" s="18">
        <f>DATEDIF('Stratégie de Communication'!$C$8,C79,"m")+1</f>
        <v>3</v>
      </c>
    </row>
    <row r="80" spans="1:14" ht="30" customHeight="1" x14ac:dyDescent="0.3">
      <c r="A80" s="33"/>
      <c r="B80" s="15" t="str">
        <f t="shared" si="4"/>
        <v>Vendredi</v>
      </c>
      <c r="C80" s="16">
        <f>'Stratégie de Communication'!$C$8+74</f>
        <v>46493</v>
      </c>
      <c r="D80" s="15" t="str">
        <f t="shared" si="5"/>
        <v>avril 2027</v>
      </c>
      <c r="E80" s="12"/>
      <c r="F80" s="12"/>
      <c r="G80" s="12"/>
      <c r="H80" s="12"/>
      <c r="I80" s="12"/>
      <c r="J80" s="12"/>
      <c r="K80" s="17"/>
      <c r="L80" s="12"/>
      <c r="M80" s="12" t="s">
        <v>55</v>
      </c>
      <c r="N80" s="18">
        <f>DATEDIF('Stratégie de Communication'!$C$8,C80,"m")+1</f>
        <v>3</v>
      </c>
    </row>
    <row r="81" spans="1:14" ht="30" customHeight="1" x14ac:dyDescent="0.3">
      <c r="A81" s="33"/>
      <c r="B81" s="15" t="str">
        <f t="shared" si="4"/>
        <v>Samedi</v>
      </c>
      <c r="C81" s="16">
        <f>'Stratégie de Communication'!$C$8+75</f>
        <v>46494</v>
      </c>
      <c r="D81" s="15" t="str">
        <f t="shared" si="5"/>
        <v>avril 2027</v>
      </c>
      <c r="E81" s="12"/>
      <c r="F81" s="12"/>
      <c r="G81" s="12"/>
      <c r="H81" s="12"/>
      <c r="I81" s="12"/>
      <c r="J81" s="12"/>
      <c r="K81" s="17"/>
      <c r="L81" s="12"/>
      <c r="M81" s="12" t="s">
        <v>55</v>
      </c>
      <c r="N81" s="18">
        <f>DATEDIF('Stratégie de Communication'!$C$8,C81,"m")+1</f>
        <v>3</v>
      </c>
    </row>
    <row r="82" spans="1:14" ht="30" customHeight="1" x14ac:dyDescent="0.3">
      <c r="A82" s="33"/>
      <c r="B82" s="15" t="str">
        <f t="shared" si="4"/>
        <v>Dimanche</v>
      </c>
      <c r="C82" s="16">
        <f>'Stratégie de Communication'!$C$8+76</f>
        <v>46495</v>
      </c>
      <c r="D82" s="15" t="str">
        <f t="shared" si="5"/>
        <v>avril 2027</v>
      </c>
      <c r="E82" s="12"/>
      <c r="F82" s="12"/>
      <c r="G82" s="12"/>
      <c r="H82" s="12"/>
      <c r="I82" s="12"/>
      <c r="J82" s="12"/>
      <c r="K82" s="17"/>
      <c r="L82" s="12"/>
      <c r="M82" s="12" t="s">
        <v>55</v>
      </c>
      <c r="N82" s="18">
        <f>DATEDIF('Stratégie de Communication'!$C$8,C82,"m")+1</f>
        <v>3</v>
      </c>
    </row>
    <row r="83" spans="1:14" ht="30" customHeight="1" x14ac:dyDescent="0.3">
      <c r="A83" s="33">
        <v>12</v>
      </c>
      <c r="B83" s="19" t="str">
        <f t="shared" si="4"/>
        <v>Lundi</v>
      </c>
      <c r="C83" s="20">
        <f>'Stratégie de Communication'!$C$8+77</f>
        <v>46496</v>
      </c>
      <c r="D83" s="19" t="str">
        <f t="shared" si="5"/>
        <v>avril 2027</v>
      </c>
      <c r="E83" s="12"/>
      <c r="F83" s="12"/>
      <c r="G83" s="12"/>
      <c r="H83" s="12"/>
      <c r="I83" s="12"/>
      <c r="J83" s="12"/>
      <c r="K83" s="17"/>
      <c r="L83" s="12"/>
      <c r="M83" s="12" t="s">
        <v>55</v>
      </c>
      <c r="N83" s="18">
        <f>DATEDIF('Stratégie de Communication'!$C$8,C83,"m")+1</f>
        <v>3</v>
      </c>
    </row>
    <row r="84" spans="1:14" ht="30" customHeight="1" x14ac:dyDescent="0.3">
      <c r="A84" s="33"/>
      <c r="B84" s="19" t="str">
        <f t="shared" si="4"/>
        <v>Mardi</v>
      </c>
      <c r="C84" s="20">
        <f>'Stratégie de Communication'!$C$8+78</f>
        <v>46497</v>
      </c>
      <c r="D84" s="19" t="str">
        <f t="shared" si="5"/>
        <v>avril 2027</v>
      </c>
      <c r="E84" s="12"/>
      <c r="F84" s="12"/>
      <c r="G84" s="12"/>
      <c r="H84" s="12"/>
      <c r="I84" s="12"/>
      <c r="J84" s="12"/>
      <c r="K84" s="17"/>
      <c r="L84" s="12"/>
      <c r="M84" s="12" t="s">
        <v>55</v>
      </c>
      <c r="N84" s="18">
        <f>DATEDIF('Stratégie de Communication'!$C$8,C84,"m")+1</f>
        <v>3</v>
      </c>
    </row>
    <row r="85" spans="1:14" ht="30" customHeight="1" x14ac:dyDescent="0.3">
      <c r="A85" s="33"/>
      <c r="B85" s="19" t="str">
        <f t="shared" si="4"/>
        <v>Mercredi</v>
      </c>
      <c r="C85" s="20">
        <f>'Stratégie de Communication'!$C$8+79</f>
        <v>46498</v>
      </c>
      <c r="D85" s="19" t="str">
        <f t="shared" si="5"/>
        <v>avril 2027</v>
      </c>
      <c r="E85" s="12"/>
      <c r="F85" s="12"/>
      <c r="G85" s="12"/>
      <c r="H85" s="12"/>
      <c r="I85" s="12"/>
      <c r="J85" s="12"/>
      <c r="K85" s="17"/>
      <c r="L85" s="12"/>
      <c r="M85" s="12" t="s">
        <v>55</v>
      </c>
      <c r="N85" s="18">
        <f>DATEDIF('Stratégie de Communication'!$C$8,C85,"m")+1</f>
        <v>3</v>
      </c>
    </row>
    <row r="86" spans="1:14" ht="30" customHeight="1" x14ac:dyDescent="0.3">
      <c r="A86" s="33"/>
      <c r="B86" s="19" t="str">
        <f t="shared" si="4"/>
        <v>Jeudi</v>
      </c>
      <c r="C86" s="20">
        <f>'Stratégie de Communication'!$C$8+80</f>
        <v>46499</v>
      </c>
      <c r="D86" s="19" t="str">
        <f t="shared" si="5"/>
        <v>avril 2027</v>
      </c>
      <c r="E86" s="12"/>
      <c r="F86" s="12"/>
      <c r="G86" s="12"/>
      <c r="H86" s="12"/>
      <c r="I86" s="12"/>
      <c r="J86" s="12"/>
      <c r="K86" s="17"/>
      <c r="L86" s="12"/>
      <c r="M86" s="12" t="s">
        <v>55</v>
      </c>
      <c r="N86" s="18">
        <f>DATEDIF('Stratégie de Communication'!$C$8,C86,"m")+1</f>
        <v>3</v>
      </c>
    </row>
    <row r="87" spans="1:14" ht="30" customHeight="1" x14ac:dyDescent="0.3">
      <c r="A87" s="33"/>
      <c r="B87" s="19" t="str">
        <f t="shared" si="4"/>
        <v>Vendredi</v>
      </c>
      <c r="C87" s="20">
        <f>'Stratégie de Communication'!$C$8+81</f>
        <v>46500</v>
      </c>
      <c r="D87" s="19" t="str">
        <f t="shared" si="5"/>
        <v>avril 2027</v>
      </c>
      <c r="E87" s="12"/>
      <c r="F87" s="12"/>
      <c r="G87" s="12"/>
      <c r="H87" s="12"/>
      <c r="I87" s="12"/>
      <c r="J87" s="12"/>
      <c r="K87" s="17"/>
      <c r="L87" s="12"/>
      <c r="M87" s="12" t="s">
        <v>55</v>
      </c>
      <c r="N87" s="18">
        <f>DATEDIF('Stratégie de Communication'!$C$8,C87,"m")+1</f>
        <v>3</v>
      </c>
    </row>
    <row r="88" spans="1:14" ht="30" customHeight="1" x14ac:dyDescent="0.3">
      <c r="A88" s="33"/>
      <c r="B88" s="19" t="str">
        <f t="shared" si="4"/>
        <v>Samedi</v>
      </c>
      <c r="C88" s="20">
        <f>'Stratégie de Communication'!$C$8+82</f>
        <v>46501</v>
      </c>
      <c r="D88" s="19" t="str">
        <f t="shared" si="5"/>
        <v>avril 2027</v>
      </c>
      <c r="E88" s="12"/>
      <c r="F88" s="12"/>
      <c r="G88" s="12"/>
      <c r="H88" s="12"/>
      <c r="I88" s="12"/>
      <c r="J88" s="12"/>
      <c r="K88" s="17"/>
      <c r="L88" s="12"/>
      <c r="M88" s="12" t="s">
        <v>55</v>
      </c>
      <c r="N88" s="18">
        <f>DATEDIF('Stratégie de Communication'!$C$8,C88,"m")+1</f>
        <v>3</v>
      </c>
    </row>
    <row r="89" spans="1:14" ht="30" customHeight="1" x14ac:dyDescent="0.3">
      <c r="A89" s="33"/>
      <c r="B89" s="19" t="str">
        <f t="shared" si="4"/>
        <v>Dimanche</v>
      </c>
      <c r="C89" s="20">
        <f>'Stratégie de Communication'!$C$8+83</f>
        <v>46502</v>
      </c>
      <c r="D89" s="19" t="str">
        <f t="shared" si="5"/>
        <v>avril 2027</v>
      </c>
      <c r="E89" s="12"/>
      <c r="F89" s="12"/>
      <c r="G89" s="12"/>
      <c r="H89" s="12"/>
      <c r="I89" s="12"/>
      <c r="J89" s="12"/>
      <c r="K89" s="17"/>
      <c r="L89" s="12"/>
      <c r="M89" s="12" t="s">
        <v>55</v>
      </c>
      <c r="N89" s="18">
        <f>DATEDIF('Stratégie de Communication'!$C$8,C89,"m")+1</f>
        <v>3</v>
      </c>
    </row>
    <row r="90" spans="1:14" ht="30" customHeight="1" x14ac:dyDescent="0.3">
      <c r="A90" s="33">
        <v>13</v>
      </c>
      <c r="B90" s="15" t="str">
        <f t="shared" si="4"/>
        <v>Lundi</v>
      </c>
      <c r="C90" s="16">
        <f>'Stratégie de Communication'!$C$8+84</f>
        <v>46503</v>
      </c>
      <c r="D90" s="15" t="str">
        <f t="shared" si="5"/>
        <v>avril 2027</v>
      </c>
      <c r="E90" s="12"/>
      <c r="F90" s="12"/>
      <c r="G90" s="12"/>
      <c r="H90" s="12"/>
      <c r="I90" s="12"/>
      <c r="J90" s="12"/>
      <c r="K90" s="17"/>
      <c r="L90" s="12"/>
      <c r="M90" s="12" t="s">
        <v>55</v>
      </c>
      <c r="N90" s="18">
        <f>DATEDIF('Stratégie de Communication'!$C$8,C90,"m")+1</f>
        <v>3</v>
      </c>
    </row>
    <row r="91" spans="1:14" ht="30" customHeight="1" x14ac:dyDescent="0.3">
      <c r="A91" s="33"/>
      <c r="B91" s="15" t="str">
        <f t="shared" si="4"/>
        <v>Mardi</v>
      </c>
      <c r="C91" s="16">
        <f>'Stratégie de Communication'!$C$8+85</f>
        <v>46504</v>
      </c>
      <c r="D91" s="15" t="str">
        <f t="shared" si="5"/>
        <v>avril 2027</v>
      </c>
      <c r="E91" s="12"/>
      <c r="F91" s="12"/>
      <c r="G91" s="12"/>
      <c r="H91" s="12"/>
      <c r="I91" s="12"/>
      <c r="J91" s="12"/>
      <c r="K91" s="17"/>
      <c r="L91" s="12"/>
      <c r="M91" s="12" t="s">
        <v>55</v>
      </c>
      <c r="N91" s="18">
        <f>DATEDIF('Stratégie de Communication'!$C$8,C91,"m")+1</f>
        <v>3</v>
      </c>
    </row>
    <row r="92" spans="1:14" ht="30" customHeight="1" x14ac:dyDescent="0.3">
      <c r="A92" s="33"/>
      <c r="B92" s="15" t="str">
        <f t="shared" si="4"/>
        <v>Mercredi</v>
      </c>
      <c r="C92" s="16">
        <f>'Stratégie de Communication'!$C$8+86</f>
        <v>46505</v>
      </c>
      <c r="D92" s="15" t="str">
        <f t="shared" si="5"/>
        <v>avril 2027</v>
      </c>
      <c r="E92" s="12"/>
      <c r="F92" s="12"/>
      <c r="G92" s="12"/>
      <c r="H92" s="12"/>
      <c r="I92" s="12"/>
      <c r="J92" s="12"/>
      <c r="K92" s="17"/>
      <c r="L92" s="12"/>
      <c r="M92" s="12" t="s">
        <v>55</v>
      </c>
      <c r="N92" s="18">
        <f>DATEDIF('Stratégie de Communication'!$C$8,C92,"m")+1</f>
        <v>3</v>
      </c>
    </row>
    <row r="93" spans="1:14" ht="30" customHeight="1" x14ac:dyDescent="0.3">
      <c r="A93" s="33"/>
      <c r="B93" s="15" t="str">
        <f t="shared" si="4"/>
        <v>Jeudi</v>
      </c>
      <c r="C93" s="16">
        <f>'Stratégie de Communication'!$C$8+87</f>
        <v>46506</v>
      </c>
      <c r="D93" s="15" t="str">
        <f t="shared" si="5"/>
        <v>avril 2027</v>
      </c>
      <c r="E93" s="12"/>
      <c r="F93" s="12"/>
      <c r="G93" s="12"/>
      <c r="H93" s="12"/>
      <c r="I93" s="12"/>
      <c r="J93" s="12"/>
      <c r="K93" s="17"/>
      <c r="L93" s="12"/>
      <c r="M93" s="12" t="s">
        <v>55</v>
      </c>
      <c r="N93" s="18">
        <f>DATEDIF('Stratégie de Communication'!$C$8,C93,"m")+1</f>
        <v>3</v>
      </c>
    </row>
    <row r="94" spans="1:14" ht="30" customHeight="1" x14ac:dyDescent="0.3">
      <c r="A94" s="33"/>
      <c r="B94" s="15" t="str">
        <f t="shared" si="4"/>
        <v>Vendredi</v>
      </c>
      <c r="C94" s="16">
        <f>'Stratégie de Communication'!$C$8+88</f>
        <v>46507</v>
      </c>
      <c r="D94" s="15" t="str">
        <f t="shared" si="5"/>
        <v>avril 2027</v>
      </c>
      <c r="E94" s="12"/>
      <c r="F94" s="12"/>
      <c r="G94" s="12"/>
      <c r="H94" s="12"/>
      <c r="I94" s="12"/>
      <c r="J94" s="12"/>
      <c r="K94" s="17"/>
      <c r="L94" s="12"/>
      <c r="M94" s="12" t="s">
        <v>55</v>
      </c>
      <c r="N94" s="18">
        <f>DATEDIF('Stratégie de Communication'!$C$8,C94,"m")+1</f>
        <v>3</v>
      </c>
    </row>
    <row r="95" spans="1:14" ht="30" customHeight="1" x14ac:dyDescent="0.3">
      <c r="A95" s="33"/>
      <c r="B95" s="15" t="str">
        <f t="shared" si="4"/>
        <v>Samedi</v>
      </c>
      <c r="C95" s="16">
        <f>'Stratégie de Communication'!$C$8+89</f>
        <v>46508</v>
      </c>
      <c r="D95" s="15" t="str">
        <f t="shared" si="5"/>
        <v>mai 2027</v>
      </c>
      <c r="E95" s="12"/>
      <c r="F95" s="12"/>
      <c r="G95" s="12"/>
      <c r="H95" s="12"/>
      <c r="I95" s="12"/>
      <c r="J95" s="12"/>
      <c r="K95" s="17"/>
      <c r="L95" s="12"/>
      <c r="M95" s="12" t="s">
        <v>55</v>
      </c>
      <c r="N95" s="18">
        <f>DATEDIF('Stratégie de Communication'!$C$8,C95,"m")+1</f>
        <v>4</v>
      </c>
    </row>
    <row r="96" spans="1:14" ht="30" customHeight="1" x14ac:dyDescent="0.3">
      <c r="A96" s="33"/>
      <c r="B96" s="15" t="str">
        <f t="shared" si="4"/>
        <v>Dimanche</v>
      </c>
      <c r="C96" s="16">
        <f>'Stratégie de Communication'!$C$8+90</f>
        <v>46509</v>
      </c>
      <c r="D96" s="15" t="str">
        <f t="shared" si="5"/>
        <v>mai 2027</v>
      </c>
      <c r="E96" s="12"/>
      <c r="F96" s="12"/>
      <c r="G96" s="12"/>
      <c r="H96" s="12"/>
      <c r="I96" s="12"/>
      <c r="J96" s="12"/>
      <c r="K96" s="17"/>
      <c r="L96" s="12"/>
      <c r="M96" s="12" t="s">
        <v>55</v>
      </c>
      <c r="N96" s="18">
        <f>DATEDIF('Stratégie de Communication'!$C$8,C96,"m")+1</f>
        <v>4</v>
      </c>
    </row>
    <row r="97" spans="1:14" ht="30" customHeight="1" x14ac:dyDescent="0.3">
      <c r="A97" s="33">
        <v>14</v>
      </c>
      <c r="B97" s="19" t="str">
        <f t="shared" si="4"/>
        <v>Lundi</v>
      </c>
      <c r="C97" s="20">
        <f>'Stratégie de Communication'!$C$8+91</f>
        <v>46510</v>
      </c>
      <c r="D97" s="19" t="str">
        <f t="shared" si="5"/>
        <v>mai 2027</v>
      </c>
      <c r="E97" s="12"/>
      <c r="F97" s="12"/>
      <c r="G97" s="12"/>
      <c r="H97" s="12"/>
      <c r="I97" s="12"/>
      <c r="J97" s="12"/>
      <c r="K97" s="17"/>
      <c r="L97" s="12"/>
      <c r="M97" s="12" t="s">
        <v>55</v>
      </c>
      <c r="N97" s="18">
        <f>DATEDIF('Stratégie de Communication'!$C$8,C97,"m")+1</f>
        <v>4</v>
      </c>
    </row>
    <row r="98" spans="1:14" ht="30" customHeight="1" x14ac:dyDescent="0.3">
      <c r="A98" s="33"/>
      <c r="B98" s="19" t="str">
        <f t="shared" si="4"/>
        <v>Mardi</v>
      </c>
      <c r="C98" s="20">
        <f>'Stratégie de Communication'!$C$8+92</f>
        <v>46511</v>
      </c>
      <c r="D98" s="19" t="str">
        <f t="shared" si="5"/>
        <v>mai 2027</v>
      </c>
      <c r="E98" s="12"/>
      <c r="F98" s="12"/>
      <c r="G98" s="12"/>
      <c r="H98" s="12"/>
      <c r="I98" s="12"/>
      <c r="J98" s="12"/>
      <c r="K98" s="17"/>
      <c r="L98" s="12"/>
      <c r="M98" s="12" t="s">
        <v>55</v>
      </c>
      <c r="N98" s="18">
        <f>DATEDIF('Stratégie de Communication'!$C$8,C98,"m")+1</f>
        <v>4</v>
      </c>
    </row>
    <row r="99" spans="1:14" ht="30" customHeight="1" x14ac:dyDescent="0.3">
      <c r="A99" s="33"/>
      <c r="B99" s="19" t="str">
        <f t="shared" si="4"/>
        <v>Mercredi</v>
      </c>
      <c r="C99" s="20">
        <f>'Stratégie de Communication'!$C$8+93</f>
        <v>46512</v>
      </c>
      <c r="D99" s="19" t="str">
        <f t="shared" si="5"/>
        <v>mai 2027</v>
      </c>
      <c r="E99" s="12"/>
      <c r="F99" s="12"/>
      <c r="G99" s="12"/>
      <c r="H99" s="12"/>
      <c r="I99" s="12"/>
      <c r="J99" s="12"/>
      <c r="K99" s="17"/>
      <c r="L99" s="12"/>
      <c r="M99" s="12" t="s">
        <v>55</v>
      </c>
      <c r="N99" s="18">
        <f>DATEDIF('Stratégie de Communication'!$C$8,C99,"m")+1</f>
        <v>4</v>
      </c>
    </row>
    <row r="100" spans="1:14" ht="30" customHeight="1" x14ac:dyDescent="0.3">
      <c r="A100" s="33"/>
      <c r="B100" s="19" t="str">
        <f t="shared" si="4"/>
        <v>Jeudi</v>
      </c>
      <c r="C100" s="20">
        <f>'Stratégie de Communication'!$C$8+94</f>
        <v>46513</v>
      </c>
      <c r="D100" s="19" t="str">
        <f t="shared" si="5"/>
        <v>mai 2027</v>
      </c>
      <c r="E100" s="12"/>
      <c r="F100" s="12"/>
      <c r="G100" s="12"/>
      <c r="H100" s="12"/>
      <c r="I100" s="12"/>
      <c r="J100" s="12"/>
      <c r="K100" s="17"/>
      <c r="L100" s="12"/>
      <c r="M100" s="12" t="s">
        <v>55</v>
      </c>
      <c r="N100" s="18">
        <f>DATEDIF('Stratégie de Communication'!$C$8,C100,"m")+1</f>
        <v>4</v>
      </c>
    </row>
    <row r="101" spans="1:14" ht="30" customHeight="1" x14ac:dyDescent="0.3">
      <c r="A101" s="33"/>
      <c r="B101" s="19" t="str">
        <f t="shared" si="4"/>
        <v>Vendredi</v>
      </c>
      <c r="C101" s="20">
        <f>'Stratégie de Communication'!$C$8+95</f>
        <v>46514</v>
      </c>
      <c r="D101" s="19" t="str">
        <f t="shared" si="5"/>
        <v>mai 2027</v>
      </c>
      <c r="E101" s="12"/>
      <c r="F101" s="12"/>
      <c r="G101" s="12"/>
      <c r="H101" s="12"/>
      <c r="I101" s="12"/>
      <c r="J101" s="12"/>
      <c r="K101" s="17"/>
      <c r="L101" s="12"/>
      <c r="M101" s="12" t="s">
        <v>55</v>
      </c>
      <c r="N101" s="18">
        <f>DATEDIF('Stratégie de Communication'!$C$8,C101,"m")+1</f>
        <v>4</v>
      </c>
    </row>
    <row r="102" spans="1:14" ht="30" customHeight="1" x14ac:dyDescent="0.3">
      <c r="A102" s="33"/>
      <c r="B102" s="19" t="str">
        <f t="shared" ref="B102:B133" si="6">CHOOSE(WEEKDAY(C102,2),"Lundi","Mardi","Mercredi","Jeudi","Vendredi","Samedi","Dimanche")</f>
        <v>Samedi</v>
      </c>
      <c r="C102" s="20">
        <f>'Stratégie de Communication'!$C$8+96</f>
        <v>46515</v>
      </c>
      <c r="D102" s="19" t="str">
        <f t="shared" ref="D102:D133" si="7">CHOOSE(MONTH(C102),"janvier","février","mars","avril","mai","juin","juillet","août","septembre","octobre","novembre","décembre")&amp;" "&amp;YEAR(C102)</f>
        <v>mai 2027</v>
      </c>
      <c r="E102" s="12"/>
      <c r="F102" s="12"/>
      <c r="G102" s="12"/>
      <c r="H102" s="12"/>
      <c r="I102" s="12"/>
      <c r="J102" s="12"/>
      <c r="K102" s="17"/>
      <c r="L102" s="12"/>
      <c r="M102" s="12" t="s">
        <v>55</v>
      </c>
      <c r="N102" s="18">
        <f>DATEDIF('Stratégie de Communication'!$C$8,C102,"m")+1</f>
        <v>4</v>
      </c>
    </row>
    <row r="103" spans="1:14" ht="30" customHeight="1" x14ac:dyDescent="0.3">
      <c r="A103" s="33"/>
      <c r="B103" s="19" t="str">
        <f t="shared" si="6"/>
        <v>Dimanche</v>
      </c>
      <c r="C103" s="20">
        <f>'Stratégie de Communication'!$C$8+97</f>
        <v>46516</v>
      </c>
      <c r="D103" s="19" t="str">
        <f t="shared" si="7"/>
        <v>mai 2027</v>
      </c>
      <c r="E103" s="12"/>
      <c r="F103" s="12"/>
      <c r="G103" s="12"/>
      <c r="H103" s="12"/>
      <c r="I103" s="12"/>
      <c r="J103" s="12"/>
      <c r="K103" s="17"/>
      <c r="L103" s="12"/>
      <c r="M103" s="12" t="s">
        <v>55</v>
      </c>
      <c r="N103" s="18">
        <f>DATEDIF('Stratégie de Communication'!$C$8,C103,"m")+1</f>
        <v>4</v>
      </c>
    </row>
    <row r="104" spans="1:14" ht="30" customHeight="1" x14ac:dyDescent="0.3">
      <c r="A104" s="33">
        <v>15</v>
      </c>
      <c r="B104" s="15" t="str">
        <f t="shared" si="6"/>
        <v>Lundi</v>
      </c>
      <c r="C104" s="16">
        <f>'Stratégie de Communication'!$C$8+98</f>
        <v>46517</v>
      </c>
      <c r="D104" s="15" t="str">
        <f t="shared" si="7"/>
        <v>mai 2027</v>
      </c>
      <c r="E104" s="12"/>
      <c r="F104" s="12"/>
      <c r="G104" s="12"/>
      <c r="H104" s="12"/>
      <c r="I104" s="12"/>
      <c r="J104" s="12"/>
      <c r="K104" s="17"/>
      <c r="L104" s="12"/>
      <c r="M104" s="12" t="s">
        <v>55</v>
      </c>
      <c r="N104" s="18">
        <f>DATEDIF('Stratégie de Communication'!$C$8,C104,"m")+1</f>
        <v>4</v>
      </c>
    </row>
    <row r="105" spans="1:14" ht="30" customHeight="1" x14ac:dyDescent="0.3">
      <c r="A105" s="33"/>
      <c r="B105" s="15" t="str">
        <f t="shared" si="6"/>
        <v>Mardi</v>
      </c>
      <c r="C105" s="16">
        <f>'Stratégie de Communication'!$C$8+99</f>
        <v>46518</v>
      </c>
      <c r="D105" s="15" t="str">
        <f t="shared" si="7"/>
        <v>mai 2027</v>
      </c>
      <c r="E105" s="12"/>
      <c r="F105" s="12"/>
      <c r="G105" s="12"/>
      <c r="H105" s="12"/>
      <c r="I105" s="12"/>
      <c r="J105" s="12"/>
      <c r="K105" s="17"/>
      <c r="L105" s="12"/>
      <c r="M105" s="12" t="s">
        <v>55</v>
      </c>
      <c r="N105" s="18">
        <f>DATEDIF('Stratégie de Communication'!$C$8,C105,"m")+1</f>
        <v>4</v>
      </c>
    </row>
    <row r="106" spans="1:14" ht="30" customHeight="1" x14ac:dyDescent="0.3">
      <c r="A106" s="33"/>
      <c r="B106" s="15" t="str">
        <f t="shared" si="6"/>
        <v>Mercredi</v>
      </c>
      <c r="C106" s="16">
        <f>'Stratégie de Communication'!$C$8+100</f>
        <v>46519</v>
      </c>
      <c r="D106" s="15" t="str">
        <f t="shared" si="7"/>
        <v>mai 2027</v>
      </c>
      <c r="E106" s="12"/>
      <c r="F106" s="12"/>
      <c r="G106" s="12"/>
      <c r="H106" s="12"/>
      <c r="I106" s="12"/>
      <c r="J106" s="12"/>
      <c r="K106" s="17"/>
      <c r="L106" s="12"/>
      <c r="M106" s="12" t="s">
        <v>55</v>
      </c>
      <c r="N106" s="18">
        <f>DATEDIF('Stratégie de Communication'!$C$8,C106,"m")+1</f>
        <v>4</v>
      </c>
    </row>
    <row r="107" spans="1:14" ht="30" customHeight="1" x14ac:dyDescent="0.3">
      <c r="A107" s="33"/>
      <c r="B107" s="15" t="str">
        <f t="shared" si="6"/>
        <v>Jeudi</v>
      </c>
      <c r="C107" s="16">
        <f>'Stratégie de Communication'!$C$8+101</f>
        <v>46520</v>
      </c>
      <c r="D107" s="15" t="str">
        <f t="shared" si="7"/>
        <v>mai 2027</v>
      </c>
      <c r="E107" s="12"/>
      <c r="F107" s="12"/>
      <c r="G107" s="12"/>
      <c r="H107" s="12"/>
      <c r="I107" s="12"/>
      <c r="J107" s="12"/>
      <c r="K107" s="17"/>
      <c r="L107" s="12"/>
      <c r="M107" s="12" t="s">
        <v>55</v>
      </c>
      <c r="N107" s="18">
        <f>DATEDIF('Stratégie de Communication'!$C$8,C107,"m")+1</f>
        <v>4</v>
      </c>
    </row>
    <row r="108" spans="1:14" ht="30" customHeight="1" x14ac:dyDescent="0.3">
      <c r="A108" s="33"/>
      <c r="B108" s="15" t="str">
        <f t="shared" si="6"/>
        <v>Vendredi</v>
      </c>
      <c r="C108" s="16">
        <f>'Stratégie de Communication'!$C$8+102</f>
        <v>46521</v>
      </c>
      <c r="D108" s="15" t="str">
        <f t="shared" si="7"/>
        <v>mai 2027</v>
      </c>
      <c r="E108" s="12"/>
      <c r="F108" s="12"/>
      <c r="G108" s="12"/>
      <c r="H108" s="12"/>
      <c r="I108" s="12"/>
      <c r="J108" s="12"/>
      <c r="K108" s="17"/>
      <c r="L108" s="12"/>
      <c r="M108" s="12" t="s">
        <v>55</v>
      </c>
      <c r="N108" s="18">
        <f>DATEDIF('Stratégie de Communication'!$C$8,C108,"m")+1</f>
        <v>4</v>
      </c>
    </row>
    <row r="109" spans="1:14" ht="30" customHeight="1" x14ac:dyDescent="0.3">
      <c r="A109" s="33"/>
      <c r="B109" s="15" t="str">
        <f t="shared" si="6"/>
        <v>Samedi</v>
      </c>
      <c r="C109" s="16">
        <f>'Stratégie de Communication'!$C$8+103</f>
        <v>46522</v>
      </c>
      <c r="D109" s="15" t="str">
        <f t="shared" si="7"/>
        <v>mai 2027</v>
      </c>
      <c r="E109" s="12"/>
      <c r="F109" s="12"/>
      <c r="G109" s="12"/>
      <c r="H109" s="12"/>
      <c r="I109" s="12"/>
      <c r="J109" s="12"/>
      <c r="K109" s="17"/>
      <c r="L109" s="12"/>
      <c r="M109" s="12" t="s">
        <v>55</v>
      </c>
      <c r="N109" s="18">
        <f>DATEDIF('Stratégie de Communication'!$C$8,C109,"m")+1</f>
        <v>4</v>
      </c>
    </row>
    <row r="110" spans="1:14" ht="30" customHeight="1" x14ac:dyDescent="0.3">
      <c r="A110" s="33"/>
      <c r="B110" s="15" t="str">
        <f t="shared" si="6"/>
        <v>Dimanche</v>
      </c>
      <c r="C110" s="16">
        <f>'Stratégie de Communication'!$C$8+104</f>
        <v>46523</v>
      </c>
      <c r="D110" s="15" t="str">
        <f t="shared" si="7"/>
        <v>mai 2027</v>
      </c>
      <c r="E110" s="12"/>
      <c r="F110" s="12"/>
      <c r="G110" s="12"/>
      <c r="H110" s="12"/>
      <c r="I110" s="12"/>
      <c r="J110" s="12"/>
      <c r="K110" s="17"/>
      <c r="L110" s="12"/>
      <c r="M110" s="12" t="s">
        <v>55</v>
      </c>
      <c r="N110" s="18">
        <f>DATEDIF('Stratégie de Communication'!$C$8,C110,"m")+1</f>
        <v>4</v>
      </c>
    </row>
    <row r="111" spans="1:14" ht="30" customHeight="1" x14ac:dyDescent="0.3">
      <c r="A111" s="33">
        <v>16</v>
      </c>
      <c r="B111" s="19" t="str">
        <f t="shared" si="6"/>
        <v>Lundi</v>
      </c>
      <c r="C111" s="20">
        <f>'Stratégie de Communication'!$C$8+105</f>
        <v>46524</v>
      </c>
      <c r="D111" s="19" t="str">
        <f t="shared" si="7"/>
        <v>mai 2027</v>
      </c>
      <c r="E111" s="12"/>
      <c r="F111" s="12"/>
      <c r="G111" s="12"/>
      <c r="H111" s="12"/>
      <c r="I111" s="12"/>
      <c r="J111" s="12"/>
      <c r="K111" s="17"/>
      <c r="L111" s="12"/>
      <c r="M111" s="12" t="s">
        <v>55</v>
      </c>
      <c r="N111" s="18">
        <f>DATEDIF('Stratégie de Communication'!$C$8,C111,"m")+1</f>
        <v>4</v>
      </c>
    </row>
    <row r="112" spans="1:14" ht="30" customHeight="1" x14ac:dyDescent="0.3">
      <c r="A112" s="33"/>
      <c r="B112" s="19" t="str">
        <f t="shared" si="6"/>
        <v>Mardi</v>
      </c>
      <c r="C112" s="20">
        <f>'Stratégie de Communication'!$C$8+106</f>
        <v>46525</v>
      </c>
      <c r="D112" s="19" t="str">
        <f t="shared" si="7"/>
        <v>mai 2027</v>
      </c>
      <c r="E112" s="12"/>
      <c r="F112" s="12"/>
      <c r="G112" s="12"/>
      <c r="H112" s="12"/>
      <c r="I112" s="12"/>
      <c r="J112" s="12"/>
      <c r="K112" s="17"/>
      <c r="L112" s="12"/>
      <c r="M112" s="12" t="s">
        <v>55</v>
      </c>
      <c r="N112" s="18">
        <f>DATEDIF('Stratégie de Communication'!$C$8,C112,"m")+1</f>
        <v>4</v>
      </c>
    </row>
    <row r="113" spans="1:14" ht="30" customHeight="1" x14ac:dyDescent="0.3">
      <c r="A113" s="33"/>
      <c r="B113" s="19" t="str">
        <f t="shared" si="6"/>
        <v>Mercredi</v>
      </c>
      <c r="C113" s="20">
        <f>'Stratégie de Communication'!$C$8+107</f>
        <v>46526</v>
      </c>
      <c r="D113" s="19" t="str">
        <f t="shared" si="7"/>
        <v>mai 2027</v>
      </c>
      <c r="E113" s="12"/>
      <c r="F113" s="12"/>
      <c r="G113" s="12"/>
      <c r="H113" s="12"/>
      <c r="I113" s="12"/>
      <c r="J113" s="12"/>
      <c r="K113" s="17"/>
      <c r="L113" s="12"/>
      <c r="M113" s="12" t="s">
        <v>55</v>
      </c>
      <c r="N113" s="18">
        <f>DATEDIF('Stratégie de Communication'!$C$8,C113,"m")+1</f>
        <v>4</v>
      </c>
    </row>
    <row r="114" spans="1:14" ht="30" customHeight="1" x14ac:dyDescent="0.3">
      <c r="A114" s="33"/>
      <c r="B114" s="19" t="str">
        <f t="shared" si="6"/>
        <v>Jeudi</v>
      </c>
      <c r="C114" s="20">
        <f>'Stratégie de Communication'!$C$8+108</f>
        <v>46527</v>
      </c>
      <c r="D114" s="19" t="str">
        <f t="shared" si="7"/>
        <v>mai 2027</v>
      </c>
      <c r="E114" s="12"/>
      <c r="F114" s="12"/>
      <c r="G114" s="12"/>
      <c r="H114" s="12"/>
      <c r="I114" s="12"/>
      <c r="J114" s="12"/>
      <c r="K114" s="17"/>
      <c r="L114" s="12"/>
      <c r="M114" s="12" t="s">
        <v>55</v>
      </c>
      <c r="N114" s="18">
        <f>DATEDIF('Stratégie de Communication'!$C$8,C114,"m")+1</f>
        <v>4</v>
      </c>
    </row>
    <row r="115" spans="1:14" ht="30" customHeight="1" x14ac:dyDescent="0.3">
      <c r="A115" s="33"/>
      <c r="B115" s="19" t="str">
        <f t="shared" si="6"/>
        <v>Vendredi</v>
      </c>
      <c r="C115" s="20">
        <f>'Stratégie de Communication'!$C$8+109</f>
        <v>46528</v>
      </c>
      <c r="D115" s="19" t="str">
        <f t="shared" si="7"/>
        <v>mai 2027</v>
      </c>
      <c r="E115" s="12"/>
      <c r="F115" s="12"/>
      <c r="G115" s="12"/>
      <c r="H115" s="12"/>
      <c r="I115" s="12"/>
      <c r="J115" s="12"/>
      <c r="K115" s="17"/>
      <c r="L115" s="12"/>
      <c r="M115" s="12" t="s">
        <v>55</v>
      </c>
      <c r="N115" s="18">
        <f>DATEDIF('Stratégie de Communication'!$C$8,C115,"m")+1</f>
        <v>4</v>
      </c>
    </row>
    <row r="116" spans="1:14" ht="30" customHeight="1" x14ac:dyDescent="0.3">
      <c r="A116" s="33"/>
      <c r="B116" s="19" t="str">
        <f t="shared" si="6"/>
        <v>Samedi</v>
      </c>
      <c r="C116" s="20">
        <f>'Stratégie de Communication'!$C$8+110</f>
        <v>46529</v>
      </c>
      <c r="D116" s="19" t="str">
        <f t="shared" si="7"/>
        <v>mai 2027</v>
      </c>
      <c r="E116" s="12"/>
      <c r="F116" s="12"/>
      <c r="G116" s="12"/>
      <c r="H116" s="12"/>
      <c r="I116" s="12"/>
      <c r="J116" s="12"/>
      <c r="K116" s="17"/>
      <c r="L116" s="12"/>
      <c r="M116" s="12" t="s">
        <v>55</v>
      </c>
      <c r="N116" s="18">
        <f>DATEDIF('Stratégie de Communication'!$C$8,C116,"m")+1</f>
        <v>4</v>
      </c>
    </row>
    <row r="117" spans="1:14" ht="30" customHeight="1" x14ac:dyDescent="0.3">
      <c r="A117" s="33"/>
      <c r="B117" s="19" t="str">
        <f t="shared" si="6"/>
        <v>Dimanche</v>
      </c>
      <c r="C117" s="20">
        <f>'Stratégie de Communication'!$C$8+111</f>
        <v>46530</v>
      </c>
      <c r="D117" s="19" t="str">
        <f t="shared" si="7"/>
        <v>mai 2027</v>
      </c>
      <c r="E117" s="12"/>
      <c r="F117" s="12"/>
      <c r="G117" s="12"/>
      <c r="H117" s="12"/>
      <c r="I117" s="12"/>
      <c r="J117" s="12"/>
      <c r="K117" s="17"/>
      <c r="L117" s="12"/>
      <c r="M117" s="12" t="s">
        <v>55</v>
      </c>
      <c r="N117" s="18">
        <f>DATEDIF('Stratégie de Communication'!$C$8,C117,"m")+1</f>
        <v>4</v>
      </c>
    </row>
    <row r="118" spans="1:14" ht="30" customHeight="1" x14ac:dyDescent="0.3">
      <c r="A118" s="33">
        <v>17</v>
      </c>
      <c r="B118" s="15" t="str">
        <f t="shared" si="6"/>
        <v>Lundi</v>
      </c>
      <c r="C118" s="16">
        <f>'Stratégie de Communication'!$C$8+112</f>
        <v>46531</v>
      </c>
      <c r="D118" s="15" t="str">
        <f t="shared" si="7"/>
        <v>mai 2027</v>
      </c>
      <c r="E118" s="12"/>
      <c r="F118" s="12"/>
      <c r="G118" s="12"/>
      <c r="H118" s="12"/>
      <c r="I118" s="12"/>
      <c r="J118" s="12"/>
      <c r="K118" s="17"/>
      <c r="L118" s="12"/>
      <c r="M118" s="12" t="s">
        <v>55</v>
      </c>
      <c r="N118" s="18">
        <f>DATEDIF('Stratégie de Communication'!$C$8,C118,"m")+1</f>
        <v>4</v>
      </c>
    </row>
    <row r="119" spans="1:14" ht="30" customHeight="1" x14ac:dyDescent="0.3">
      <c r="A119" s="33"/>
      <c r="B119" s="15" t="str">
        <f t="shared" si="6"/>
        <v>Mardi</v>
      </c>
      <c r="C119" s="16">
        <f>'Stratégie de Communication'!$C$8+113</f>
        <v>46532</v>
      </c>
      <c r="D119" s="15" t="str">
        <f t="shared" si="7"/>
        <v>mai 2027</v>
      </c>
      <c r="E119" s="12"/>
      <c r="F119" s="12"/>
      <c r="G119" s="12"/>
      <c r="H119" s="12"/>
      <c r="I119" s="12"/>
      <c r="J119" s="12"/>
      <c r="K119" s="17"/>
      <c r="L119" s="12"/>
      <c r="M119" s="12" t="s">
        <v>55</v>
      </c>
      <c r="N119" s="18">
        <f>DATEDIF('Stratégie de Communication'!$C$8,C119,"m")+1</f>
        <v>4</v>
      </c>
    </row>
    <row r="120" spans="1:14" ht="30" customHeight="1" x14ac:dyDescent="0.3">
      <c r="A120" s="33"/>
      <c r="B120" s="15" t="str">
        <f t="shared" si="6"/>
        <v>Mercredi</v>
      </c>
      <c r="C120" s="16">
        <f>'Stratégie de Communication'!$C$8+114</f>
        <v>46533</v>
      </c>
      <c r="D120" s="15" t="str">
        <f t="shared" si="7"/>
        <v>mai 2027</v>
      </c>
      <c r="E120" s="12"/>
      <c r="F120" s="12"/>
      <c r="G120" s="12"/>
      <c r="H120" s="12"/>
      <c r="I120" s="12"/>
      <c r="J120" s="12"/>
      <c r="K120" s="17"/>
      <c r="L120" s="12"/>
      <c r="M120" s="12" t="s">
        <v>55</v>
      </c>
      <c r="N120" s="18">
        <f>DATEDIF('Stratégie de Communication'!$C$8,C120,"m")+1</f>
        <v>4</v>
      </c>
    </row>
    <row r="121" spans="1:14" ht="30" customHeight="1" x14ac:dyDescent="0.3">
      <c r="A121" s="33"/>
      <c r="B121" s="15" t="str">
        <f t="shared" si="6"/>
        <v>Jeudi</v>
      </c>
      <c r="C121" s="16">
        <f>'Stratégie de Communication'!$C$8+115</f>
        <v>46534</v>
      </c>
      <c r="D121" s="15" t="str">
        <f t="shared" si="7"/>
        <v>mai 2027</v>
      </c>
      <c r="E121" s="12"/>
      <c r="F121" s="12"/>
      <c r="G121" s="12"/>
      <c r="H121" s="12"/>
      <c r="I121" s="12"/>
      <c r="J121" s="12"/>
      <c r="K121" s="17"/>
      <c r="L121" s="12"/>
      <c r="M121" s="12" t="s">
        <v>55</v>
      </c>
      <c r="N121" s="18">
        <f>DATEDIF('Stratégie de Communication'!$C$8,C121,"m")+1</f>
        <v>4</v>
      </c>
    </row>
    <row r="122" spans="1:14" ht="30" customHeight="1" x14ac:dyDescent="0.3">
      <c r="A122" s="33"/>
      <c r="B122" s="15" t="str">
        <f t="shared" si="6"/>
        <v>Vendredi</v>
      </c>
      <c r="C122" s="16">
        <f>'Stratégie de Communication'!$C$8+116</f>
        <v>46535</v>
      </c>
      <c r="D122" s="15" t="str">
        <f t="shared" si="7"/>
        <v>mai 2027</v>
      </c>
      <c r="E122" s="12"/>
      <c r="F122" s="12"/>
      <c r="G122" s="12"/>
      <c r="H122" s="12"/>
      <c r="I122" s="12"/>
      <c r="J122" s="12"/>
      <c r="K122" s="17"/>
      <c r="L122" s="12"/>
      <c r="M122" s="12" t="s">
        <v>55</v>
      </c>
      <c r="N122" s="18">
        <f>DATEDIF('Stratégie de Communication'!$C$8,C122,"m")+1</f>
        <v>4</v>
      </c>
    </row>
    <row r="123" spans="1:14" ht="30" customHeight="1" x14ac:dyDescent="0.3">
      <c r="A123" s="33"/>
      <c r="B123" s="15" t="str">
        <f t="shared" si="6"/>
        <v>Samedi</v>
      </c>
      <c r="C123" s="16">
        <f>'Stratégie de Communication'!$C$8+117</f>
        <v>46536</v>
      </c>
      <c r="D123" s="15" t="str">
        <f t="shared" si="7"/>
        <v>mai 2027</v>
      </c>
      <c r="E123" s="12"/>
      <c r="F123" s="12"/>
      <c r="G123" s="12"/>
      <c r="H123" s="12"/>
      <c r="I123" s="12"/>
      <c r="J123" s="12"/>
      <c r="K123" s="17"/>
      <c r="L123" s="12"/>
      <c r="M123" s="12" t="s">
        <v>55</v>
      </c>
      <c r="N123" s="18">
        <f>DATEDIF('Stratégie de Communication'!$C$8,C123,"m")+1</f>
        <v>4</v>
      </c>
    </row>
    <row r="124" spans="1:14" ht="30" customHeight="1" x14ac:dyDescent="0.3">
      <c r="A124" s="33"/>
      <c r="B124" s="15" t="str">
        <f t="shared" si="6"/>
        <v>Dimanche</v>
      </c>
      <c r="C124" s="16">
        <f>'Stratégie de Communication'!$C$8+118</f>
        <v>46537</v>
      </c>
      <c r="D124" s="15" t="str">
        <f t="shared" si="7"/>
        <v>mai 2027</v>
      </c>
      <c r="E124" s="12"/>
      <c r="F124" s="12"/>
      <c r="G124" s="12"/>
      <c r="H124" s="12"/>
      <c r="I124" s="12"/>
      <c r="J124" s="12"/>
      <c r="K124" s="17"/>
      <c r="L124" s="12"/>
      <c r="M124" s="12" t="s">
        <v>55</v>
      </c>
      <c r="N124" s="18">
        <f>DATEDIF('Stratégie de Communication'!$C$8,C124,"m")+1</f>
        <v>4</v>
      </c>
    </row>
    <row r="125" spans="1:14" ht="30" customHeight="1" x14ac:dyDescent="0.3">
      <c r="A125" s="33">
        <v>18</v>
      </c>
      <c r="B125" s="19" t="str">
        <f t="shared" si="6"/>
        <v>Lundi</v>
      </c>
      <c r="C125" s="20">
        <f>'Stratégie de Communication'!$C$8+119</f>
        <v>46538</v>
      </c>
      <c r="D125" s="19" t="str">
        <f t="shared" si="7"/>
        <v>mai 2027</v>
      </c>
      <c r="E125" s="12"/>
      <c r="F125" s="12"/>
      <c r="G125" s="12"/>
      <c r="H125" s="12"/>
      <c r="I125" s="12"/>
      <c r="J125" s="12"/>
      <c r="K125" s="17"/>
      <c r="L125" s="12"/>
      <c r="M125" s="12" t="s">
        <v>55</v>
      </c>
      <c r="N125" s="18">
        <f>DATEDIF('Stratégie de Communication'!$C$8,C125,"m")+1</f>
        <v>4</v>
      </c>
    </row>
    <row r="126" spans="1:14" ht="30" customHeight="1" x14ac:dyDescent="0.3">
      <c r="A126" s="33"/>
      <c r="B126" s="19" t="str">
        <f t="shared" si="6"/>
        <v>Mardi</v>
      </c>
      <c r="C126" s="20">
        <f>'Stratégie de Communication'!$C$8+120</f>
        <v>46539</v>
      </c>
      <c r="D126" s="19" t="str">
        <f t="shared" si="7"/>
        <v>juin 2027</v>
      </c>
      <c r="E126" s="12"/>
      <c r="F126" s="12"/>
      <c r="G126" s="12"/>
      <c r="H126" s="12"/>
      <c r="I126" s="12"/>
      <c r="J126" s="12"/>
      <c r="K126" s="17"/>
      <c r="L126" s="12"/>
      <c r="M126" s="12" t="s">
        <v>55</v>
      </c>
      <c r="N126" s="18">
        <f>DATEDIF('Stratégie de Communication'!$C$8,C126,"m")+1</f>
        <v>5</v>
      </c>
    </row>
    <row r="127" spans="1:14" ht="30" customHeight="1" x14ac:dyDescent="0.3">
      <c r="A127" s="33"/>
      <c r="B127" s="19" t="str">
        <f t="shared" si="6"/>
        <v>Mercredi</v>
      </c>
      <c r="C127" s="20">
        <f>'Stratégie de Communication'!$C$8+121</f>
        <v>46540</v>
      </c>
      <c r="D127" s="19" t="str">
        <f t="shared" si="7"/>
        <v>juin 2027</v>
      </c>
      <c r="E127" s="12"/>
      <c r="F127" s="12"/>
      <c r="G127" s="12"/>
      <c r="H127" s="12"/>
      <c r="I127" s="12"/>
      <c r="J127" s="12"/>
      <c r="K127" s="17"/>
      <c r="L127" s="12"/>
      <c r="M127" s="12" t="s">
        <v>55</v>
      </c>
      <c r="N127" s="18">
        <f>DATEDIF('Stratégie de Communication'!$C$8,C127,"m")+1</f>
        <v>5</v>
      </c>
    </row>
    <row r="128" spans="1:14" ht="30" customHeight="1" x14ac:dyDescent="0.3">
      <c r="A128" s="33"/>
      <c r="B128" s="19" t="str">
        <f t="shared" si="6"/>
        <v>Jeudi</v>
      </c>
      <c r="C128" s="20">
        <f>'Stratégie de Communication'!$C$8+122</f>
        <v>46541</v>
      </c>
      <c r="D128" s="19" t="str">
        <f t="shared" si="7"/>
        <v>juin 2027</v>
      </c>
      <c r="E128" s="12"/>
      <c r="F128" s="12"/>
      <c r="G128" s="12"/>
      <c r="H128" s="12"/>
      <c r="I128" s="12"/>
      <c r="J128" s="12"/>
      <c r="K128" s="17"/>
      <c r="L128" s="12"/>
      <c r="M128" s="12" t="s">
        <v>55</v>
      </c>
      <c r="N128" s="18">
        <f>DATEDIF('Stratégie de Communication'!$C$8,C128,"m")+1</f>
        <v>5</v>
      </c>
    </row>
    <row r="129" spans="1:14" ht="30" customHeight="1" x14ac:dyDescent="0.3">
      <c r="A129" s="33"/>
      <c r="B129" s="19" t="str">
        <f t="shared" si="6"/>
        <v>Vendredi</v>
      </c>
      <c r="C129" s="20">
        <f>'Stratégie de Communication'!$C$8+123</f>
        <v>46542</v>
      </c>
      <c r="D129" s="19" t="str">
        <f t="shared" si="7"/>
        <v>juin 2027</v>
      </c>
      <c r="E129" s="12"/>
      <c r="F129" s="12"/>
      <c r="G129" s="12"/>
      <c r="H129" s="12"/>
      <c r="I129" s="12"/>
      <c r="J129" s="12"/>
      <c r="K129" s="17"/>
      <c r="L129" s="12"/>
      <c r="M129" s="12" t="s">
        <v>55</v>
      </c>
      <c r="N129" s="18">
        <f>DATEDIF('Stratégie de Communication'!$C$8,C129,"m")+1</f>
        <v>5</v>
      </c>
    </row>
    <row r="130" spans="1:14" ht="30" customHeight="1" x14ac:dyDescent="0.3">
      <c r="A130" s="33"/>
      <c r="B130" s="19" t="str">
        <f t="shared" si="6"/>
        <v>Samedi</v>
      </c>
      <c r="C130" s="20">
        <f>'Stratégie de Communication'!$C$8+124</f>
        <v>46543</v>
      </c>
      <c r="D130" s="19" t="str">
        <f t="shared" si="7"/>
        <v>juin 2027</v>
      </c>
      <c r="E130" s="12"/>
      <c r="F130" s="12"/>
      <c r="G130" s="12"/>
      <c r="H130" s="12"/>
      <c r="I130" s="12"/>
      <c r="J130" s="12"/>
      <c r="K130" s="17"/>
      <c r="L130" s="12"/>
      <c r="M130" s="12" t="s">
        <v>55</v>
      </c>
      <c r="N130" s="18">
        <f>DATEDIF('Stratégie de Communication'!$C$8,C130,"m")+1</f>
        <v>5</v>
      </c>
    </row>
    <row r="131" spans="1:14" ht="30" customHeight="1" x14ac:dyDescent="0.3">
      <c r="A131" s="33"/>
      <c r="B131" s="19" t="str">
        <f t="shared" si="6"/>
        <v>Dimanche</v>
      </c>
      <c r="C131" s="20">
        <f>'Stratégie de Communication'!$C$8+125</f>
        <v>46544</v>
      </c>
      <c r="D131" s="19" t="str">
        <f t="shared" si="7"/>
        <v>juin 2027</v>
      </c>
      <c r="E131" s="12"/>
      <c r="F131" s="12"/>
      <c r="G131" s="12"/>
      <c r="H131" s="12"/>
      <c r="I131" s="12"/>
      <c r="J131" s="12"/>
      <c r="K131" s="17"/>
      <c r="L131" s="12"/>
      <c r="M131" s="12" t="s">
        <v>55</v>
      </c>
      <c r="N131" s="18">
        <f>DATEDIF('Stratégie de Communication'!$C$8,C131,"m")+1</f>
        <v>5</v>
      </c>
    </row>
    <row r="132" spans="1:14" ht="30" customHeight="1" x14ac:dyDescent="0.3">
      <c r="A132" s="33">
        <v>19</v>
      </c>
      <c r="B132" s="15" t="str">
        <f t="shared" si="6"/>
        <v>Lundi</v>
      </c>
      <c r="C132" s="16">
        <f>'Stratégie de Communication'!$C$8+126</f>
        <v>46545</v>
      </c>
      <c r="D132" s="15" t="str">
        <f t="shared" si="7"/>
        <v>juin 2027</v>
      </c>
      <c r="E132" s="12"/>
      <c r="F132" s="12"/>
      <c r="G132" s="12"/>
      <c r="H132" s="12"/>
      <c r="I132" s="12"/>
      <c r="J132" s="12"/>
      <c r="K132" s="17"/>
      <c r="L132" s="12"/>
      <c r="M132" s="12" t="s">
        <v>55</v>
      </c>
      <c r="N132" s="18">
        <f>DATEDIF('Stratégie de Communication'!$C$8,C132,"m")+1</f>
        <v>5</v>
      </c>
    </row>
    <row r="133" spans="1:14" ht="30" customHeight="1" x14ac:dyDescent="0.3">
      <c r="A133" s="33"/>
      <c r="B133" s="15" t="str">
        <f t="shared" si="6"/>
        <v>Mardi</v>
      </c>
      <c r="C133" s="16">
        <f>'Stratégie de Communication'!$C$8+127</f>
        <v>46546</v>
      </c>
      <c r="D133" s="15" t="str">
        <f t="shared" si="7"/>
        <v>juin 2027</v>
      </c>
      <c r="E133" s="12"/>
      <c r="F133" s="12"/>
      <c r="G133" s="12"/>
      <c r="H133" s="12"/>
      <c r="I133" s="12"/>
      <c r="J133" s="12"/>
      <c r="K133" s="17"/>
      <c r="L133" s="12"/>
      <c r="M133" s="12" t="s">
        <v>55</v>
      </c>
      <c r="N133" s="18">
        <f>DATEDIF('Stratégie de Communication'!$C$8,C133,"m")+1</f>
        <v>5</v>
      </c>
    </row>
    <row r="134" spans="1:14" ht="30" customHeight="1" x14ac:dyDescent="0.3">
      <c r="A134" s="33"/>
      <c r="B134" s="15" t="str">
        <f t="shared" ref="B134:B165" si="8">CHOOSE(WEEKDAY(C134,2),"Lundi","Mardi","Mercredi","Jeudi","Vendredi","Samedi","Dimanche")</f>
        <v>Mercredi</v>
      </c>
      <c r="C134" s="16">
        <f>'Stratégie de Communication'!$C$8+128</f>
        <v>46547</v>
      </c>
      <c r="D134" s="15" t="str">
        <f t="shared" ref="D134:D165" si="9">CHOOSE(MONTH(C134),"janvier","février","mars","avril","mai","juin","juillet","août","septembre","octobre","novembre","décembre")&amp;" "&amp;YEAR(C134)</f>
        <v>juin 2027</v>
      </c>
      <c r="E134" s="12"/>
      <c r="F134" s="12"/>
      <c r="G134" s="12"/>
      <c r="H134" s="12"/>
      <c r="I134" s="12"/>
      <c r="J134" s="12"/>
      <c r="K134" s="17"/>
      <c r="L134" s="12"/>
      <c r="M134" s="12" t="s">
        <v>55</v>
      </c>
      <c r="N134" s="18">
        <f>DATEDIF('Stratégie de Communication'!$C$8,C134,"m")+1</f>
        <v>5</v>
      </c>
    </row>
    <row r="135" spans="1:14" ht="30" customHeight="1" x14ac:dyDescent="0.3">
      <c r="A135" s="33"/>
      <c r="B135" s="15" t="str">
        <f t="shared" si="8"/>
        <v>Jeudi</v>
      </c>
      <c r="C135" s="16">
        <f>'Stratégie de Communication'!$C$8+129</f>
        <v>46548</v>
      </c>
      <c r="D135" s="15" t="str">
        <f t="shared" si="9"/>
        <v>juin 2027</v>
      </c>
      <c r="E135" s="12"/>
      <c r="F135" s="12"/>
      <c r="G135" s="12"/>
      <c r="H135" s="12"/>
      <c r="I135" s="12"/>
      <c r="J135" s="12"/>
      <c r="K135" s="17"/>
      <c r="L135" s="12"/>
      <c r="M135" s="12" t="s">
        <v>55</v>
      </c>
      <c r="N135" s="18">
        <f>DATEDIF('Stratégie de Communication'!$C$8,C135,"m")+1</f>
        <v>5</v>
      </c>
    </row>
    <row r="136" spans="1:14" ht="30" customHeight="1" x14ac:dyDescent="0.3">
      <c r="A136" s="33"/>
      <c r="B136" s="15" t="str">
        <f t="shared" si="8"/>
        <v>Vendredi</v>
      </c>
      <c r="C136" s="16">
        <f>'Stratégie de Communication'!$C$8+130</f>
        <v>46549</v>
      </c>
      <c r="D136" s="15" t="str">
        <f t="shared" si="9"/>
        <v>juin 2027</v>
      </c>
      <c r="E136" s="12"/>
      <c r="F136" s="12"/>
      <c r="G136" s="12"/>
      <c r="H136" s="12"/>
      <c r="I136" s="12"/>
      <c r="J136" s="12"/>
      <c r="K136" s="17"/>
      <c r="L136" s="12"/>
      <c r="M136" s="12" t="s">
        <v>55</v>
      </c>
      <c r="N136" s="18">
        <f>DATEDIF('Stratégie de Communication'!$C$8,C136,"m")+1</f>
        <v>5</v>
      </c>
    </row>
    <row r="137" spans="1:14" ht="30" customHeight="1" x14ac:dyDescent="0.3">
      <c r="A137" s="33"/>
      <c r="B137" s="15" t="str">
        <f t="shared" si="8"/>
        <v>Samedi</v>
      </c>
      <c r="C137" s="16">
        <f>'Stratégie de Communication'!$C$8+131</f>
        <v>46550</v>
      </c>
      <c r="D137" s="15" t="str">
        <f t="shared" si="9"/>
        <v>juin 2027</v>
      </c>
      <c r="E137" s="12"/>
      <c r="F137" s="12"/>
      <c r="G137" s="12"/>
      <c r="H137" s="12"/>
      <c r="I137" s="12"/>
      <c r="J137" s="12"/>
      <c r="K137" s="17"/>
      <c r="L137" s="12"/>
      <c r="M137" s="12" t="s">
        <v>55</v>
      </c>
      <c r="N137" s="18">
        <f>DATEDIF('Stratégie de Communication'!$C$8,C137,"m")+1</f>
        <v>5</v>
      </c>
    </row>
    <row r="138" spans="1:14" ht="30" customHeight="1" x14ac:dyDescent="0.3">
      <c r="A138" s="33"/>
      <c r="B138" s="15" t="str">
        <f t="shared" si="8"/>
        <v>Dimanche</v>
      </c>
      <c r="C138" s="16">
        <f>'Stratégie de Communication'!$C$8+132</f>
        <v>46551</v>
      </c>
      <c r="D138" s="15" t="str">
        <f t="shared" si="9"/>
        <v>juin 2027</v>
      </c>
      <c r="E138" s="12"/>
      <c r="F138" s="12"/>
      <c r="G138" s="12"/>
      <c r="H138" s="12"/>
      <c r="I138" s="12"/>
      <c r="J138" s="12"/>
      <c r="K138" s="17"/>
      <c r="L138" s="12"/>
      <c r="M138" s="12" t="s">
        <v>55</v>
      </c>
      <c r="N138" s="18">
        <f>DATEDIF('Stratégie de Communication'!$C$8,C138,"m")+1</f>
        <v>5</v>
      </c>
    </row>
    <row r="139" spans="1:14" ht="30" customHeight="1" x14ac:dyDescent="0.3">
      <c r="A139" s="33">
        <v>20</v>
      </c>
      <c r="B139" s="19" t="str">
        <f t="shared" si="8"/>
        <v>Lundi</v>
      </c>
      <c r="C139" s="20">
        <f>'Stratégie de Communication'!$C$8+133</f>
        <v>46552</v>
      </c>
      <c r="D139" s="19" t="str">
        <f t="shared" si="9"/>
        <v>juin 2027</v>
      </c>
      <c r="E139" s="12"/>
      <c r="F139" s="12"/>
      <c r="G139" s="12"/>
      <c r="H139" s="12"/>
      <c r="I139" s="12"/>
      <c r="J139" s="12"/>
      <c r="K139" s="17"/>
      <c r="L139" s="12"/>
      <c r="M139" s="12" t="s">
        <v>55</v>
      </c>
      <c r="N139" s="18">
        <f>DATEDIF('Stratégie de Communication'!$C$8,C139,"m")+1</f>
        <v>5</v>
      </c>
    </row>
    <row r="140" spans="1:14" ht="30" customHeight="1" x14ac:dyDescent="0.3">
      <c r="A140" s="33"/>
      <c r="B140" s="19" t="str">
        <f t="shared" si="8"/>
        <v>Mardi</v>
      </c>
      <c r="C140" s="20">
        <f>'Stratégie de Communication'!$C$8+134</f>
        <v>46553</v>
      </c>
      <c r="D140" s="19" t="str">
        <f t="shared" si="9"/>
        <v>juin 2027</v>
      </c>
      <c r="E140" s="12"/>
      <c r="F140" s="12"/>
      <c r="G140" s="12"/>
      <c r="H140" s="12"/>
      <c r="I140" s="12"/>
      <c r="J140" s="12"/>
      <c r="K140" s="17"/>
      <c r="L140" s="12"/>
      <c r="M140" s="12" t="s">
        <v>55</v>
      </c>
      <c r="N140" s="18">
        <f>DATEDIF('Stratégie de Communication'!$C$8,C140,"m")+1</f>
        <v>5</v>
      </c>
    </row>
    <row r="141" spans="1:14" ht="30" customHeight="1" x14ac:dyDescent="0.3">
      <c r="A141" s="33"/>
      <c r="B141" s="19" t="str">
        <f t="shared" si="8"/>
        <v>Mercredi</v>
      </c>
      <c r="C141" s="20">
        <f>'Stratégie de Communication'!$C$8+135</f>
        <v>46554</v>
      </c>
      <c r="D141" s="19" t="str">
        <f t="shared" si="9"/>
        <v>juin 2027</v>
      </c>
      <c r="E141" s="12"/>
      <c r="F141" s="12"/>
      <c r="G141" s="12"/>
      <c r="H141" s="12"/>
      <c r="I141" s="12"/>
      <c r="J141" s="12"/>
      <c r="K141" s="17"/>
      <c r="L141" s="12"/>
      <c r="M141" s="12" t="s">
        <v>55</v>
      </c>
      <c r="N141" s="18">
        <f>DATEDIF('Stratégie de Communication'!$C$8,C141,"m")+1</f>
        <v>5</v>
      </c>
    </row>
    <row r="142" spans="1:14" ht="30" customHeight="1" x14ac:dyDescent="0.3">
      <c r="A142" s="33"/>
      <c r="B142" s="19" t="str">
        <f t="shared" si="8"/>
        <v>Jeudi</v>
      </c>
      <c r="C142" s="20">
        <f>'Stratégie de Communication'!$C$8+136</f>
        <v>46555</v>
      </c>
      <c r="D142" s="19" t="str">
        <f t="shared" si="9"/>
        <v>juin 2027</v>
      </c>
      <c r="E142" s="12"/>
      <c r="F142" s="12"/>
      <c r="G142" s="12"/>
      <c r="H142" s="12"/>
      <c r="I142" s="12"/>
      <c r="J142" s="12"/>
      <c r="K142" s="17"/>
      <c r="L142" s="12"/>
      <c r="M142" s="12" t="s">
        <v>55</v>
      </c>
      <c r="N142" s="18">
        <f>DATEDIF('Stratégie de Communication'!$C$8,C142,"m")+1</f>
        <v>5</v>
      </c>
    </row>
    <row r="143" spans="1:14" ht="30" customHeight="1" x14ac:dyDescent="0.3">
      <c r="A143" s="33"/>
      <c r="B143" s="19" t="str">
        <f t="shared" si="8"/>
        <v>Vendredi</v>
      </c>
      <c r="C143" s="20">
        <f>'Stratégie de Communication'!$C$8+137</f>
        <v>46556</v>
      </c>
      <c r="D143" s="19" t="str">
        <f t="shared" si="9"/>
        <v>juin 2027</v>
      </c>
      <c r="E143" s="12"/>
      <c r="F143" s="12"/>
      <c r="G143" s="12"/>
      <c r="H143" s="12"/>
      <c r="I143" s="12"/>
      <c r="J143" s="12"/>
      <c r="K143" s="17"/>
      <c r="L143" s="12"/>
      <c r="M143" s="12" t="s">
        <v>55</v>
      </c>
      <c r="N143" s="18">
        <f>DATEDIF('Stratégie de Communication'!$C$8,C143,"m")+1</f>
        <v>5</v>
      </c>
    </row>
    <row r="144" spans="1:14" ht="30" customHeight="1" x14ac:dyDescent="0.3">
      <c r="A144" s="33"/>
      <c r="B144" s="19" t="str">
        <f t="shared" si="8"/>
        <v>Samedi</v>
      </c>
      <c r="C144" s="20">
        <f>'Stratégie de Communication'!$C$8+138</f>
        <v>46557</v>
      </c>
      <c r="D144" s="19" t="str">
        <f t="shared" si="9"/>
        <v>juin 2027</v>
      </c>
      <c r="E144" s="12"/>
      <c r="F144" s="12"/>
      <c r="G144" s="12"/>
      <c r="H144" s="12"/>
      <c r="I144" s="12"/>
      <c r="J144" s="12"/>
      <c r="K144" s="17"/>
      <c r="L144" s="12"/>
      <c r="M144" s="12" t="s">
        <v>55</v>
      </c>
      <c r="N144" s="18">
        <f>DATEDIF('Stratégie de Communication'!$C$8,C144,"m")+1</f>
        <v>5</v>
      </c>
    </row>
    <row r="145" spans="1:14" ht="30" customHeight="1" x14ac:dyDescent="0.3">
      <c r="A145" s="33"/>
      <c r="B145" s="19" t="str">
        <f t="shared" si="8"/>
        <v>Dimanche</v>
      </c>
      <c r="C145" s="20">
        <f>'Stratégie de Communication'!$C$8+139</f>
        <v>46558</v>
      </c>
      <c r="D145" s="19" t="str">
        <f t="shared" si="9"/>
        <v>juin 2027</v>
      </c>
      <c r="E145" s="12"/>
      <c r="F145" s="12"/>
      <c r="G145" s="12"/>
      <c r="H145" s="12"/>
      <c r="I145" s="12"/>
      <c r="J145" s="12"/>
      <c r="K145" s="17"/>
      <c r="L145" s="12"/>
      <c r="M145" s="12" t="s">
        <v>55</v>
      </c>
      <c r="N145" s="18">
        <f>DATEDIF('Stratégie de Communication'!$C$8,C145,"m")+1</f>
        <v>5</v>
      </c>
    </row>
    <row r="146" spans="1:14" ht="30" customHeight="1" x14ac:dyDescent="0.3">
      <c r="A146" s="33">
        <v>21</v>
      </c>
      <c r="B146" s="15" t="str">
        <f t="shared" si="8"/>
        <v>Lundi</v>
      </c>
      <c r="C146" s="16">
        <f>'Stratégie de Communication'!$C$8+140</f>
        <v>46559</v>
      </c>
      <c r="D146" s="15" t="str">
        <f t="shared" si="9"/>
        <v>juin 2027</v>
      </c>
      <c r="E146" s="12"/>
      <c r="F146" s="12"/>
      <c r="G146" s="12"/>
      <c r="H146" s="12"/>
      <c r="I146" s="12"/>
      <c r="J146" s="12"/>
      <c r="K146" s="17"/>
      <c r="L146" s="12"/>
      <c r="M146" s="12" t="s">
        <v>55</v>
      </c>
      <c r="N146" s="18">
        <f>DATEDIF('Stratégie de Communication'!$C$8,C146,"m")+1</f>
        <v>5</v>
      </c>
    </row>
    <row r="147" spans="1:14" ht="30" customHeight="1" x14ac:dyDescent="0.3">
      <c r="A147" s="33"/>
      <c r="B147" s="15" t="str">
        <f t="shared" si="8"/>
        <v>Mardi</v>
      </c>
      <c r="C147" s="16">
        <f>'Stratégie de Communication'!$C$8+141</f>
        <v>46560</v>
      </c>
      <c r="D147" s="15" t="str">
        <f t="shared" si="9"/>
        <v>juin 2027</v>
      </c>
      <c r="E147" s="12"/>
      <c r="F147" s="12"/>
      <c r="G147" s="12"/>
      <c r="H147" s="12"/>
      <c r="I147" s="12"/>
      <c r="J147" s="12"/>
      <c r="K147" s="17"/>
      <c r="L147" s="12"/>
      <c r="M147" s="12" t="s">
        <v>55</v>
      </c>
      <c r="N147" s="18">
        <f>DATEDIF('Stratégie de Communication'!$C$8,C147,"m")+1</f>
        <v>5</v>
      </c>
    </row>
    <row r="148" spans="1:14" ht="30" customHeight="1" x14ac:dyDescent="0.3">
      <c r="A148" s="33"/>
      <c r="B148" s="15" t="str">
        <f t="shared" si="8"/>
        <v>Mercredi</v>
      </c>
      <c r="C148" s="16">
        <f>'Stratégie de Communication'!$C$8+142</f>
        <v>46561</v>
      </c>
      <c r="D148" s="15" t="str">
        <f t="shared" si="9"/>
        <v>juin 2027</v>
      </c>
      <c r="E148" s="12"/>
      <c r="F148" s="12"/>
      <c r="G148" s="12"/>
      <c r="H148" s="12"/>
      <c r="I148" s="12"/>
      <c r="J148" s="12"/>
      <c r="K148" s="17"/>
      <c r="L148" s="12"/>
      <c r="M148" s="12" t="s">
        <v>55</v>
      </c>
      <c r="N148" s="18">
        <f>DATEDIF('Stratégie de Communication'!$C$8,C148,"m")+1</f>
        <v>5</v>
      </c>
    </row>
    <row r="149" spans="1:14" ht="30" customHeight="1" x14ac:dyDescent="0.3">
      <c r="A149" s="33"/>
      <c r="B149" s="15" t="str">
        <f t="shared" si="8"/>
        <v>Jeudi</v>
      </c>
      <c r="C149" s="16">
        <f>'Stratégie de Communication'!$C$8+143</f>
        <v>46562</v>
      </c>
      <c r="D149" s="15" t="str">
        <f t="shared" si="9"/>
        <v>juin 2027</v>
      </c>
      <c r="E149" s="12"/>
      <c r="F149" s="12"/>
      <c r="G149" s="12"/>
      <c r="H149" s="12"/>
      <c r="I149" s="12"/>
      <c r="J149" s="12"/>
      <c r="K149" s="17"/>
      <c r="L149" s="12"/>
      <c r="M149" s="12" t="s">
        <v>55</v>
      </c>
      <c r="N149" s="18">
        <f>DATEDIF('Stratégie de Communication'!$C$8,C149,"m")+1</f>
        <v>5</v>
      </c>
    </row>
    <row r="150" spans="1:14" ht="30" customHeight="1" x14ac:dyDescent="0.3">
      <c r="A150" s="33"/>
      <c r="B150" s="15" t="str">
        <f t="shared" si="8"/>
        <v>Vendredi</v>
      </c>
      <c r="C150" s="16">
        <f>'Stratégie de Communication'!$C$8+144</f>
        <v>46563</v>
      </c>
      <c r="D150" s="15" t="str">
        <f t="shared" si="9"/>
        <v>juin 2027</v>
      </c>
      <c r="E150" s="12"/>
      <c r="F150" s="12"/>
      <c r="G150" s="12"/>
      <c r="H150" s="12"/>
      <c r="I150" s="12"/>
      <c r="J150" s="12"/>
      <c r="K150" s="17"/>
      <c r="L150" s="12"/>
      <c r="M150" s="12" t="s">
        <v>55</v>
      </c>
      <c r="N150" s="18">
        <f>DATEDIF('Stratégie de Communication'!$C$8,C150,"m")+1</f>
        <v>5</v>
      </c>
    </row>
    <row r="151" spans="1:14" ht="30" customHeight="1" x14ac:dyDescent="0.3">
      <c r="A151" s="33"/>
      <c r="B151" s="15" t="str">
        <f t="shared" si="8"/>
        <v>Samedi</v>
      </c>
      <c r="C151" s="16">
        <f>'Stratégie de Communication'!$C$8+145</f>
        <v>46564</v>
      </c>
      <c r="D151" s="15" t="str">
        <f t="shared" si="9"/>
        <v>juin 2027</v>
      </c>
      <c r="E151" s="12"/>
      <c r="F151" s="12"/>
      <c r="G151" s="12"/>
      <c r="H151" s="12"/>
      <c r="I151" s="12"/>
      <c r="J151" s="12"/>
      <c r="K151" s="17"/>
      <c r="L151" s="12"/>
      <c r="M151" s="12" t="s">
        <v>55</v>
      </c>
      <c r="N151" s="18">
        <f>DATEDIF('Stratégie de Communication'!$C$8,C151,"m")+1</f>
        <v>5</v>
      </c>
    </row>
    <row r="152" spans="1:14" ht="30" customHeight="1" x14ac:dyDescent="0.3">
      <c r="A152" s="33"/>
      <c r="B152" s="15" t="str">
        <f t="shared" si="8"/>
        <v>Dimanche</v>
      </c>
      <c r="C152" s="16">
        <f>'Stratégie de Communication'!$C$8+146</f>
        <v>46565</v>
      </c>
      <c r="D152" s="15" t="str">
        <f t="shared" si="9"/>
        <v>juin 2027</v>
      </c>
      <c r="E152" s="12"/>
      <c r="F152" s="12"/>
      <c r="G152" s="12"/>
      <c r="H152" s="12"/>
      <c r="I152" s="12"/>
      <c r="J152" s="12"/>
      <c r="K152" s="17"/>
      <c r="L152" s="12"/>
      <c r="M152" s="12" t="s">
        <v>55</v>
      </c>
      <c r="N152" s="18">
        <f>DATEDIF('Stratégie de Communication'!$C$8,C152,"m")+1</f>
        <v>5</v>
      </c>
    </row>
    <row r="153" spans="1:14" ht="30" customHeight="1" x14ac:dyDescent="0.3">
      <c r="A153" s="33">
        <v>22</v>
      </c>
      <c r="B153" s="19" t="str">
        <f t="shared" si="8"/>
        <v>Lundi</v>
      </c>
      <c r="C153" s="20">
        <f>'Stratégie de Communication'!$C$8+147</f>
        <v>46566</v>
      </c>
      <c r="D153" s="19" t="str">
        <f t="shared" si="9"/>
        <v>juin 2027</v>
      </c>
      <c r="E153" s="12"/>
      <c r="F153" s="12"/>
      <c r="G153" s="12"/>
      <c r="H153" s="12"/>
      <c r="I153" s="12"/>
      <c r="J153" s="12"/>
      <c r="K153" s="17"/>
      <c r="L153" s="12"/>
      <c r="M153" s="12" t="s">
        <v>55</v>
      </c>
      <c r="N153" s="18">
        <f>DATEDIF('Stratégie de Communication'!$C$8,C153,"m")+1</f>
        <v>5</v>
      </c>
    </row>
    <row r="154" spans="1:14" ht="30" customHeight="1" x14ac:dyDescent="0.3">
      <c r="A154" s="33"/>
      <c r="B154" s="19" t="str">
        <f t="shared" si="8"/>
        <v>Mardi</v>
      </c>
      <c r="C154" s="20">
        <f>'Stratégie de Communication'!$C$8+148</f>
        <v>46567</v>
      </c>
      <c r="D154" s="19" t="str">
        <f t="shared" si="9"/>
        <v>juin 2027</v>
      </c>
      <c r="E154" s="12"/>
      <c r="F154" s="12"/>
      <c r="G154" s="12"/>
      <c r="H154" s="12"/>
      <c r="I154" s="12"/>
      <c r="J154" s="12"/>
      <c r="K154" s="17"/>
      <c r="L154" s="12"/>
      <c r="M154" s="12" t="s">
        <v>55</v>
      </c>
      <c r="N154" s="18">
        <f>DATEDIF('Stratégie de Communication'!$C$8,C154,"m")+1</f>
        <v>5</v>
      </c>
    </row>
    <row r="155" spans="1:14" ht="30" customHeight="1" x14ac:dyDescent="0.3">
      <c r="A155" s="33"/>
      <c r="B155" s="19" t="str">
        <f t="shared" si="8"/>
        <v>Mercredi</v>
      </c>
      <c r="C155" s="20">
        <f>'Stratégie de Communication'!$C$8+149</f>
        <v>46568</v>
      </c>
      <c r="D155" s="19" t="str">
        <f t="shared" si="9"/>
        <v>juin 2027</v>
      </c>
      <c r="E155" s="12"/>
      <c r="F155" s="12"/>
      <c r="G155" s="12"/>
      <c r="H155" s="12"/>
      <c r="I155" s="12"/>
      <c r="J155" s="12"/>
      <c r="K155" s="17"/>
      <c r="L155" s="12"/>
      <c r="M155" s="12" t="s">
        <v>55</v>
      </c>
      <c r="N155" s="18">
        <f>DATEDIF('Stratégie de Communication'!$C$8,C155,"m")+1</f>
        <v>5</v>
      </c>
    </row>
    <row r="156" spans="1:14" ht="30" customHeight="1" x14ac:dyDescent="0.3">
      <c r="A156" s="33"/>
      <c r="B156" s="19" t="str">
        <f t="shared" si="8"/>
        <v>Jeudi</v>
      </c>
      <c r="C156" s="20">
        <f>'Stratégie de Communication'!$C$8+150</f>
        <v>46569</v>
      </c>
      <c r="D156" s="19" t="str">
        <f t="shared" si="9"/>
        <v>juillet 2027</v>
      </c>
      <c r="E156" s="12"/>
      <c r="F156" s="12"/>
      <c r="G156" s="12"/>
      <c r="H156" s="12"/>
      <c r="I156" s="12"/>
      <c r="J156" s="12"/>
      <c r="K156" s="17"/>
      <c r="L156" s="12"/>
      <c r="M156" s="12" t="s">
        <v>55</v>
      </c>
      <c r="N156" s="18">
        <f>DATEDIF('Stratégie de Communication'!$C$8,C156,"m")+1</f>
        <v>6</v>
      </c>
    </row>
    <row r="157" spans="1:14" ht="30" customHeight="1" x14ac:dyDescent="0.3">
      <c r="A157" s="33"/>
      <c r="B157" s="19" t="str">
        <f t="shared" si="8"/>
        <v>Vendredi</v>
      </c>
      <c r="C157" s="20">
        <f>'Stratégie de Communication'!$C$8+151</f>
        <v>46570</v>
      </c>
      <c r="D157" s="19" t="str">
        <f t="shared" si="9"/>
        <v>juillet 2027</v>
      </c>
      <c r="E157" s="12"/>
      <c r="F157" s="12"/>
      <c r="G157" s="12"/>
      <c r="H157" s="12"/>
      <c r="I157" s="12"/>
      <c r="J157" s="12"/>
      <c r="K157" s="17"/>
      <c r="L157" s="12"/>
      <c r="M157" s="12" t="s">
        <v>55</v>
      </c>
      <c r="N157" s="18">
        <f>DATEDIF('Stratégie de Communication'!$C$8,C157,"m")+1</f>
        <v>6</v>
      </c>
    </row>
    <row r="158" spans="1:14" ht="30" customHeight="1" x14ac:dyDescent="0.3">
      <c r="A158" s="33"/>
      <c r="B158" s="19" t="str">
        <f t="shared" si="8"/>
        <v>Samedi</v>
      </c>
      <c r="C158" s="20">
        <f>'Stratégie de Communication'!$C$8+152</f>
        <v>46571</v>
      </c>
      <c r="D158" s="19" t="str">
        <f t="shared" si="9"/>
        <v>juillet 2027</v>
      </c>
      <c r="E158" s="12"/>
      <c r="F158" s="12"/>
      <c r="G158" s="12"/>
      <c r="H158" s="12"/>
      <c r="I158" s="12"/>
      <c r="J158" s="12"/>
      <c r="K158" s="17"/>
      <c r="L158" s="12"/>
      <c r="M158" s="12" t="s">
        <v>55</v>
      </c>
      <c r="N158" s="18">
        <f>DATEDIF('Stratégie de Communication'!$C$8,C158,"m")+1</f>
        <v>6</v>
      </c>
    </row>
    <row r="159" spans="1:14" ht="30" customHeight="1" x14ac:dyDescent="0.3">
      <c r="A159" s="33"/>
      <c r="B159" s="19" t="str">
        <f t="shared" si="8"/>
        <v>Dimanche</v>
      </c>
      <c r="C159" s="20">
        <f>'Stratégie de Communication'!$C$8+153</f>
        <v>46572</v>
      </c>
      <c r="D159" s="19" t="str">
        <f t="shared" si="9"/>
        <v>juillet 2027</v>
      </c>
      <c r="E159" s="12"/>
      <c r="F159" s="12"/>
      <c r="G159" s="12"/>
      <c r="H159" s="12"/>
      <c r="I159" s="12"/>
      <c r="J159" s="12"/>
      <c r="K159" s="17"/>
      <c r="L159" s="12"/>
      <c r="M159" s="12" t="s">
        <v>55</v>
      </c>
      <c r="N159" s="18">
        <f>DATEDIF('Stratégie de Communication'!$C$8,C159,"m")+1</f>
        <v>6</v>
      </c>
    </row>
    <row r="160" spans="1:14" ht="30" customHeight="1" x14ac:dyDescent="0.3">
      <c r="A160" s="33">
        <v>23</v>
      </c>
      <c r="B160" s="15" t="str">
        <f t="shared" si="8"/>
        <v>Lundi</v>
      </c>
      <c r="C160" s="16">
        <f>'Stratégie de Communication'!$C$8+154</f>
        <v>46573</v>
      </c>
      <c r="D160" s="15" t="str">
        <f t="shared" si="9"/>
        <v>juillet 2027</v>
      </c>
      <c r="E160" s="12"/>
      <c r="F160" s="12"/>
      <c r="G160" s="12"/>
      <c r="H160" s="12"/>
      <c r="I160" s="12"/>
      <c r="J160" s="12"/>
      <c r="K160" s="17"/>
      <c r="L160" s="12"/>
      <c r="M160" s="12" t="s">
        <v>55</v>
      </c>
      <c r="N160" s="18">
        <f>DATEDIF('Stratégie de Communication'!$C$8,C160,"m")+1</f>
        <v>6</v>
      </c>
    </row>
    <row r="161" spans="1:14" ht="30" customHeight="1" x14ac:dyDescent="0.3">
      <c r="A161" s="33"/>
      <c r="B161" s="15" t="str">
        <f t="shared" si="8"/>
        <v>Mardi</v>
      </c>
      <c r="C161" s="16">
        <f>'Stratégie de Communication'!$C$8+155</f>
        <v>46574</v>
      </c>
      <c r="D161" s="15" t="str">
        <f t="shared" si="9"/>
        <v>juillet 2027</v>
      </c>
      <c r="E161" s="12"/>
      <c r="F161" s="12"/>
      <c r="G161" s="12"/>
      <c r="H161" s="12"/>
      <c r="I161" s="12"/>
      <c r="J161" s="12"/>
      <c r="K161" s="17"/>
      <c r="L161" s="12"/>
      <c r="M161" s="12" t="s">
        <v>55</v>
      </c>
      <c r="N161" s="18">
        <f>DATEDIF('Stratégie de Communication'!$C$8,C161,"m")+1</f>
        <v>6</v>
      </c>
    </row>
    <row r="162" spans="1:14" ht="30" customHeight="1" x14ac:dyDescent="0.3">
      <c r="A162" s="33"/>
      <c r="B162" s="15" t="str">
        <f t="shared" si="8"/>
        <v>Mercredi</v>
      </c>
      <c r="C162" s="16">
        <f>'Stratégie de Communication'!$C$8+156</f>
        <v>46575</v>
      </c>
      <c r="D162" s="15" t="str">
        <f t="shared" si="9"/>
        <v>juillet 2027</v>
      </c>
      <c r="E162" s="12"/>
      <c r="F162" s="12"/>
      <c r="G162" s="12"/>
      <c r="H162" s="12"/>
      <c r="I162" s="12"/>
      <c r="J162" s="12"/>
      <c r="K162" s="17"/>
      <c r="L162" s="12"/>
      <c r="M162" s="12" t="s">
        <v>55</v>
      </c>
      <c r="N162" s="18">
        <f>DATEDIF('Stratégie de Communication'!$C$8,C162,"m")+1</f>
        <v>6</v>
      </c>
    </row>
    <row r="163" spans="1:14" ht="30" customHeight="1" x14ac:dyDescent="0.3">
      <c r="A163" s="33"/>
      <c r="B163" s="15" t="str">
        <f t="shared" si="8"/>
        <v>Jeudi</v>
      </c>
      <c r="C163" s="16">
        <f>'Stratégie de Communication'!$C$8+157</f>
        <v>46576</v>
      </c>
      <c r="D163" s="15" t="str">
        <f t="shared" si="9"/>
        <v>juillet 2027</v>
      </c>
      <c r="E163" s="12"/>
      <c r="F163" s="12"/>
      <c r="G163" s="12"/>
      <c r="H163" s="12"/>
      <c r="I163" s="12"/>
      <c r="J163" s="12"/>
      <c r="K163" s="17"/>
      <c r="L163" s="12"/>
      <c r="M163" s="12" t="s">
        <v>55</v>
      </c>
      <c r="N163" s="18">
        <f>DATEDIF('Stratégie de Communication'!$C$8,C163,"m")+1</f>
        <v>6</v>
      </c>
    </row>
    <row r="164" spans="1:14" ht="30" customHeight="1" x14ac:dyDescent="0.3">
      <c r="A164" s="33"/>
      <c r="B164" s="15" t="str">
        <f t="shared" si="8"/>
        <v>Vendredi</v>
      </c>
      <c r="C164" s="16">
        <f>'Stratégie de Communication'!$C$8+158</f>
        <v>46577</v>
      </c>
      <c r="D164" s="15" t="str">
        <f t="shared" si="9"/>
        <v>juillet 2027</v>
      </c>
      <c r="E164" s="12"/>
      <c r="F164" s="12"/>
      <c r="G164" s="12"/>
      <c r="H164" s="12"/>
      <c r="I164" s="12"/>
      <c r="J164" s="12"/>
      <c r="K164" s="17"/>
      <c r="L164" s="12"/>
      <c r="M164" s="12" t="s">
        <v>55</v>
      </c>
      <c r="N164" s="18">
        <f>DATEDIF('Stratégie de Communication'!$C$8,C164,"m")+1</f>
        <v>6</v>
      </c>
    </row>
    <row r="165" spans="1:14" ht="30" customHeight="1" x14ac:dyDescent="0.3">
      <c r="A165" s="33"/>
      <c r="B165" s="15" t="str">
        <f t="shared" si="8"/>
        <v>Samedi</v>
      </c>
      <c r="C165" s="16">
        <f>'Stratégie de Communication'!$C$8+159</f>
        <v>46578</v>
      </c>
      <c r="D165" s="15" t="str">
        <f t="shared" si="9"/>
        <v>juillet 2027</v>
      </c>
      <c r="E165" s="12"/>
      <c r="F165" s="12"/>
      <c r="G165" s="12"/>
      <c r="H165" s="12"/>
      <c r="I165" s="12"/>
      <c r="J165" s="12"/>
      <c r="K165" s="17"/>
      <c r="L165" s="12"/>
      <c r="M165" s="12" t="s">
        <v>55</v>
      </c>
      <c r="N165" s="18">
        <f>DATEDIF('Stratégie de Communication'!$C$8,C165,"m")+1</f>
        <v>6</v>
      </c>
    </row>
    <row r="166" spans="1:14" ht="30" customHeight="1" x14ac:dyDescent="0.3">
      <c r="A166" s="33"/>
      <c r="B166" s="15" t="str">
        <f t="shared" ref="B166:B187" si="10">CHOOSE(WEEKDAY(C166,2),"Lundi","Mardi","Mercredi","Jeudi","Vendredi","Samedi","Dimanche")</f>
        <v>Dimanche</v>
      </c>
      <c r="C166" s="16">
        <f>'Stratégie de Communication'!$C$8+160</f>
        <v>46579</v>
      </c>
      <c r="D166" s="15" t="str">
        <f t="shared" ref="D166:D187" si="11">CHOOSE(MONTH(C166),"janvier","février","mars","avril","mai","juin","juillet","août","septembre","octobre","novembre","décembre")&amp;" "&amp;YEAR(C166)</f>
        <v>juillet 2027</v>
      </c>
      <c r="E166" s="12"/>
      <c r="F166" s="12"/>
      <c r="G166" s="12"/>
      <c r="H166" s="12"/>
      <c r="I166" s="12"/>
      <c r="J166" s="12"/>
      <c r="K166" s="17"/>
      <c r="L166" s="12"/>
      <c r="M166" s="12" t="s">
        <v>55</v>
      </c>
      <c r="N166" s="18">
        <f>DATEDIF('Stratégie de Communication'!$C$8,C166,"m")+1</f>
        <v>6</v>
      </c>
    </row>
    <row r="167" spans="1:14" ht="30" customHeight="1" x14ac:dyDescent="0.3">
      <c r="A167" s="33">
        <v>24</v>
      </c>
      <c r="B167" s="19" t="str">
        <f t="shared" si="10"/>
        <v>Lundi</v>
      </c>
      <c r="C167" s="20">
        <f>'Stratégie de Communication'!$C$8+161</f>
        <v>46580</v>
      </c>
      <c r="D167" s="19" t="str">
        <f t="shared" si="11"/>
        <v>juillet 2027</v>
      </c>
      <c r="E167" s="12"/>
      <c r="F167" s="12"/>
      <c r="G167" s="12"/>
      <c r="H167" s="12"/>
      <c r="I167" s="12"/>
      <c r="J167" s="12"/>
      <c r="K167" s="17"/>
      <c r="L167" s="12"/>
      <c r="M167" s="12" t="s">
        <v>55</v>
      </c>
      <c r="N167" s="18">
        <f>DATEDIF('Stratégie de Communication'!$C$8,C167,"m")+1</f>
        <v>6</v>
      </c>
    </row>
    <row r="168" spans="1:14" ht="30" customHeight="1" x14ac:dyDescent="0.3">
      <c r="A168" s="33"/>
      <c r="B168" s="19" t="str">
        <f t="shared" si="10"/>
        <v>Mardi</v>
      </c>
      <c r="C168" s="20">
        <f>'Stratégie de Communication'!$C$8+162</f>
        <v>46581</v>
      </c>
      <c r="D168" s="19" t="str">
        <f t="shared" si="11"/>
        <v>juillet 2027</v>
      </c>
      <c r="E168" s="12"/>
      <c r="F168" s="12"/>
      <c r="G168" s="12"/>
      <c r="H168" s="12"/>
      <c r="I168" s="12"/>
      <c r="J168" s="12"/>
      <c r="K168" s="17"/>
      <c r="L168" s="12"/>
      <c r="M168" s="12" t="s">
        <v>55</v>
      </c>
      <c r="N168" s="18">
        <f>DATEDIF('Stratégie de Communication'!$C$8,C168,"m")+1</f>
        <v>6</v>
      </c>
    </row>
    <row r="169" spans="1:14" ht="30" customHeight="1" x14ac:dyDescent="0.3">
      <c r="A169" s="33"/>
      <c r="B169" s="19" t="str">
        <f t="shared" si="10"/>
        <v>Mercredi</v>
      </c>
      <c r="C169" s="20">
        <f>'Stratégie de Communication'!$C$8+163</f>
        <v>46582</v>
      </c>
      <c r="D169" s="19" t="str">
        <f t="shared" si="11"/>
        <v>juillet 2027</v>
      </c>
      <c r="E169" s="12"/>
      <c r="F169" s="12"/>
      <c r="G169" s="12"/>
      <c r="H169" s="12"/>
      <c r="I169" s="12"/>
      <c r="J169" s="12"/>
      <c r="K169" s="17"/>
      <c r="L169" s="12"/>
      <c r="M169" s="12" t="s">
        <v>55</v>
      </c>
      <c r="N169" s="18">
        <f>DATEDIF('Stratégie de Communication'!$C$8,C169,"m")+1</f>
        <v>6</v>
      </c>
    </row>
    <row r="170" spans="1:14" ht="30" customHeight="1" x14ac:dyDescent="0.3">
      <c r="A170" s="33"/>
      <c r="B170" s="19" t="str">
        <f t="shared" si="10"/>
        <v>Jeudi</v>
      </c>
      <c r="C170" s="20">
        <f>'Stratégie de Communication'!$C$8+164</f>
        <v>46583</v>
      </c>
      <c r="D170" s="19" t="str">
        <f t="shared" si="11"/>
        <v>juillet 2027</v>
      </c>
      <c r="E170" s="12"/>
      <c r="F170" s="12"/>
      <c r="G170" s="12"/>
      <c r="H170" s="12"/>
      <c r="I170" s="12"/>
      <c r="J170" s="12"/>
      <c r="K170" s="17"/>
      <c r="L170" s="12"/>
      <c r="M170" s="12" t="s">
        <v>55</v>
      </c>
      <c r="N170" s="18">
        <f>DATEDIF('Stratégie de Communication'!$C$8,C170,"m")+1</f>
        <v>6</v>
      </c>
    </row>
    <row r="171" spans="1:14" ht="30" customHeight="1" x14ac:dyDescent="0.3">
      <c r="A171" s="33"/>
      <c r="B171" s="19" t="str">
        <f t="shared" si="10"/>
        <v>Vendredi</v>
      </c>
      <c r="C171" s="20">
        <f>'Stratégie de Communication'!$C$8+165</f>
        <v>46584</v>
      </c>
      <c r="D171" s="19" t="str">
        <f t="shared" si="11"/>
        <v>juillet 2027</v>
      </c>
      <c r="E171" s="12"/>
      <c r="F171" s="12"/>
      <c r="G171" s="12"/>
      <c r="H171" s="12"/>
      <c r="I171" s="12"/>
      <c r="J171" s="12"/>
      <c r="K171" s="17"/>
      <c r="L171" s="12"/>
      <c r="M171" s="12" t="s">
        <v>55</v>
      </c>
      <c r="N171" s="18">
        <f>DATEDIF('Stratégie de Communication'!$C$8,C171,"m")+1</f>
        <v>6</v>
      </c>
    </row>
    <row r="172" spans="1:14" ht="30" customHeight="1" x14ac:dyDescent="0.3">
      <c r="A172" s="33"/>
      <c r="B172" s="19" t="str">
        <f t="shared" si="10"/>
        <v>Samedi</v>
      </c>
      <c r="C172" s="20">
        <f>'Stratégie de Communication'!$C$8+166</f>
        <v>46585</v>
      </c>
      <c r="D172" s="19" t="str">
        <f t="shared" si="11"/>
        <v>juillet 2027</v>
      </c>
      <c r="E172" s="12"/>
      <c r="F172" s="12"/>
      <c r="G172" s="12"/>
      <c r="H172" s="12"/>
      <c r="I172" s="12"/>
      <c r="J172" s="12"/>
      <c r="K172" s="17"/>
      <c r="L172" s="12"/>
      <c r="M172" s="12" t="s">
        <v>55</v>
      </c>
      <c r="N172" s="18">
        <f>DATEDIF('Stratégie de Communication'!$C$8,C172,"m")+1</f>
        <v>6</v>
      </c>
    </row>
    <row r="173" spans="1:14" ht="30" customHeight="1" x14ac:dyDescent="0.3">
      <c r="A173" s="33"/>
      <c r="B173" s="19" t="str">
        <f t="shared" si="10"/>
        <v>Dimanche</v>
      </c>
      <c r="C173" s="20">
        <f>'Stratégie de Communication'!$C$8+167</f>
        <v>46586</v>
      </c>
      <c r="D173" s="19" t="str">
        <f t="shared" si="11"/>
        <v>juillet 2027</v>
      </c>
      <c r="E173" s="12"/>
      <c r="F173" s="12"/>
      <c r="G173" s="12"/>
      <c r="H173" s="12"/>
      <c r="I173" s="12"/>
      <c r="J173" s="12"/>
      <c r="K173" s="17"/>
      <c r="L173" s="12"/>
      <c r="M173" s="12" t="s">
        <v>55</v>
      </c>
      <c r="N173" s="18">
        <f>DATEDIF('Stratégie de Communication'!$C$8,C173,"m")+1</f>
        <v>6</v>
      </c>
    </row>
    <row r="174" spans="1:14" ht="30" customHeight="1" x14ac:dyDescent="0.3">
      <c r="A174" s="33">
        <v>25</v>
      </c>
      <c r="B174" s="15" t="str">
        <f t="shared" si="10"/>
        <v>Lundi</v>
      </c>
      <c r="C174" s="16">
        <f>'Stratégie de Communication'!$C$8+168</f>
        <v>46587</v>
      </c>
      <c r="D174" s="15" t="str">
        <f t="shared" si="11"/>
        <v>juillet 2027</v>
      </c>
      <c r="E174" s="12"/>
      <c r="F174" s="12"/>
      <c r="G174" s="12"/>
      <c r="H174" s="12"/>
      <c r="I174" s="12"/>
      <c r="J174" s="12"/>
      <c r="K174" s="17"/>
      <c r="L174" s="12"/>
      <c r="M174" s="12" t="s">
        <v>55</v>
      </c>
      <c r="N174" s="18">
        <f>DATEDIF('Stratégie de Communication'!$C$8,C174,"m")+1</f>
        <v>6</v>
      </c>
    </row>
    <row r="175" spans="1:14" ht="30" customHeight="1" x14ac:dyDescent="0.3">
      <c r="A175" s="33"/>
      <c r="B175" s="15" t="str">
        <f t="shared" si="10"/>
        <v>Mardi</v>
      </c>
      <c r="C175" s="16">
        <f>'Stratégie de Communication'!$C$8+169</f>
        <v>46588</v>
      </c>
      <c r="D175" s="15" t="str">
        <f t="shared" si="11"/>
        <v>juillet 2027</v>
      </c>
      <c r="E175" s="12"/>
      <c r="F175" s="12"/>
      <c r="G175" s="12"/>
      <c r="H175" s="12"/>
      <c r="I175" s="12"/>
      <c r="J175" s="12"/>
      <c r="K175" s="17"/>
      <c r="L175" s="12"/>
      <c r="M175" s="12" t="s">
        <v>55</v>
      </c>
      <c r="N175" s="18">
        <f>DATEDIF('Stratégie de Communication'!$C$8,C175,"m")+1</f>
        <v>6</v>
      </c>
    </row>
    <row r="176" spans="1:14" ht="30" customHeight="1" x14ac:dyDescent="0.3">
      <c r="A176" s="33"/>
      <c r="B176" s="15" t="str">
        <f t="shared" si="10"/>
        <v>Mercredi</v>
      </c>
      <c r="C176" s="16">
        <f>'Stratégie de Communication'!$C$8+170</f>
        <v>46589</v>
      </c>
      <c r="D176" s="15" t="str">
        <f t="shared" si="11"/>
        <v>juillet 2027</v>
      </c>
      <c r="E176" s="12"/>
      <c r="F176" s="12"/>
      <c r="G176" s="12"/>
      <c r="H176" s="12"/>
      <c r="I176" s="12"/>
      <c r="J176" s="12"/>
      <c r="K176" s="17"/>
      <c r="L176" s="12"/>
      <c r="M176" s="12" t="s">
        <v>55</v>
      </c>
      <c r="N176" s="18">
        <f>DATEDIF('Stratégie de Communication'!$C$8,C176,"m")+1</f>
        <v>6</v>
      </c>
    </row>
    <row r="177" spans="1:14" ht="30" customHeight="1" x14ac:dyDescent="0.3">
      <c r="A177" s="33"/>
      <c r="B177" s="15" t="str">
        <f t="shared" si="10"/>
        <v>Jeudi</v>
      </c>
      <c r="C177" s="16">
        <f>'Stratégie de Communication'!$C$8+171</f>
        <v>46590</v>
      </c>
      <c r="D177" s="15" t="str">
        <f t="shared" si="11"/>
        <v>juillet 2027</v>
      </c>
      <c r="E177" s="12"/>
      <c r="F177" s="12"/>
      <c r="G177" s="12"/>
      <c r="H177" s="12"/>
      <c r="I177" s="12"/>
      <c r="J177" s="12"/>
      <c r="K177" s="17"/>
      <c r="L177" s="12"/>
      <c r="M177" s="12" t="s">
        <v>55</v>
      </c>
      <c r="N177" s="18">
        <f>DATEDIF('Stratégie de Communication'!$C$8,C177,"m")+1</f>
        <v>6</v>
      </c>
    </row>
    <row r="178" spans="1:14" ht="30" customHeight="1" x14ac:dyDescent="0.3">
      <c r="A178" s="33"/>
      <c r="B178" s="15" t="str">
        <f t="shared" si="10"/>
        <v>Vendredi</v>
      </c>
      <c r="C178" s="16">
        <f>'Stratégie de Communication'!$C$8+172</f>
        <v>46591</v>
      </c>
      <c r="D178" s="15" t="str">
        <f t="shared" si="11"/>
        <v>juillet 2027</v>
      </c>
      <c r="E178" s="12"/>
      <c r="F178" s="12"/>
      <c r="G178" s="12"/>
      <c r="H178" s="12"/>
      <c r="I178" s="12"/>
      <c r="J178" s="12"/>
      <c r="K178" s="17"/>
      <c r="L178" s="12"/>
      <c r="M178" s="12" t="s">
        <v>55</v>
      </c>
      <c r="N178" s="18">
        <f>DATEDIF('Stratégie de Communication'!$C$8,C178,"m")+1</f>
        <v>6</v>
      </c>
    </row>
    <row r="179" spans="1:14" ht="30" customHeight="1" x14ac:dyDescent="0.3">
      <c r="A179" s="33"/>
      <c r="B179" s="15" t="str">
        <f t="shared" si="10"/>
        <v>Samedi</v>
      </c>
      <c r="C179" s="16">
        <f>'Stratégie de Communication'!$C$8+173</f>
        <v>46592</v>
      </c>
      <c r="D179" s="15" t="str">
        <f t="shared" si="11"/>
        <v>juillet 2027</v>
      </c>
      <c r="E179" s="12"/>
      <c r="F179" s="12"/>
      <c r="G179" s="12"/>
      <c r="H179" s="12"/>
      <c r="I179" s="12"/>
      <c r="J179" s="12"/>
      <c r="K179" s="17"/>
      <c r="L179" s="12"/>
      <c r="M179" s="12" t="s">
        <v>55</v>
      </c>
      <c r="N179" s="18">
        <f>DATEDIF('Stratégie de Communication'!$C$8,C179,"m")+1</f>
        <v>6</v>
      </c>
    </row>
    <row r="180" spans="1:14" ht="30" customHeight="1" x14ac:dyDescent="0.3">
      <c r="A180" s="33"/>
      <c r="B180" s="15" t="str">
        <f t="shared" si="10"/>
        <v>Dimanche</v>
      </c>
      <c r="C180" s="16">
        <f>'Stratégie de Communication'!$C$8+174</f>
        <v>46593</v>
      </c>
      <c r="D180" s="15" t="str">
        <f t="shared" si="11"/>
        <v>juillet 2027</v>
      </c>
      <c r="E180" s="12"/>
      <c r="F180" s="12"/>
      <c r="G180" s="12"/>
      <c r="H180" s="12"/>
      <c r="I180" s="12"/>
      <c r="J180" s="12"/>
      <c r="K180" s="17"/>
      <c r="L180" s="12"/>
      <c r="M180" s="12" t="s">
        <v>55</v>
      </c>
      <c r="N180" s="18">
        <f>DATEDIF('Stratégie de Communication'!$C$8,C180,"m")+1</f>
        <v>6</v>
      </c>
    </row>
    <row r="181" spans="1:14" ht="30" customHeight="1" x14ac:dyDescent="0.3">
      <c r="A181" s="33">
        <v>26</v>
      </c>
      <c r="B181" s="19" t="str">
        <f t="shared" si="10"/>
        <v>Lundi</v>
      </c>
      <c r="C181" s="20">
        <f>'Stratégie de Communication'!$C$8+175</f>
        <v>46594</v>
      </c>
      <c r="D181" s="19" t="str">
        <f t="shared" si="11"/>
        <v>juillet 2027</v>
      </c>
      <c r="E181" s="12"/>
      <c r="F181" s="12"/>
      <c r="G181" s="12"/>
      <c r="H181" s="12"/>
      <c r="I181" s="12"/>
      <c r="J181" s="12"/>
      <c r="K181" s="17"/>
      <c r="L181" s="12"/>
      <c r="M181" s="12" t="s">
        <v>55</v>
      </c>
      <c r="N181" s="18">
        <f>DATEDIF('Stratégie de Communication'!$C$8,C181,"m")+1</f>
        <v>6</v>
      </c>
    </row>
    <row r="182" spans="1:14" ht="30" customHeight="1" x14ac:dyDescent="0.3">
      <c r="A182" s="33"/>
      <c r="B182" s="19" t="str">
        <f t="shared" si="10"/>
        <v>Mardi</v>
      </c>
      <c r="C182" s="20">
        <f>'Stratégie de Communication'!$C$8+176</f>
        <v>46595</v>
      </c>
      <c r="D182" s="19" t="str">
        <f t="shared" si="11"/>
        <v>juillet 2027</v>
      </c>
      <c r="E182" s="12"/>
      <c r="F182" s="12"/>
      <c r="G182" s="12"/>
      <c r="H182" s="12"/>
      <c r="I182" s="12"/>
      <c r="J182" s="12"/>
      <c r="K182" s="17"/>
      <c r="L182" s="12"/>
      <c r="M182" s="12" t="s">
        <v>55</v>
      </c>
      <c r="N182" s="18">
        <f>DATEDIF('Stratégie de Communication'!$C$8,C182,"m")+1</f>
        <v>6</v>
      </c>
    </row>
    <row r="183" spans="1:14" ht="30" customHeight="1" x14ac:dyDescent="0.3">
      <c r="A183" s="33"/>
      <c r="B183" s="19" t="str">
        <f t="shared" si="10"/>
        <v>Mercredi</v>
      </c>
      <c r="C183" s="20">
        <f>'Stratégie de Communication'!$C$8+177</f>
        <v>46596</v>
      </c>
      <c r="D183" s="19" t="str">
        <f t="shared" si="11"/>
        <v>juillet 2027</v>
      </c>
      <c r="E183" s="12"/>
      <c r="F183" s="12"/>
      <c r="G183" s="12"/>
      <c r="H183" s="12"/>
      <c r="I183" s="12"/>
      <c r="J183" s="12"/>
      <c r="K183" s="17"/>
      <c r="L183" s="12"/>
      <c r="M183" s="12" t="s">
        <v>55</v>
      </c>
      <c r="N183" s="18">
        <f>DATEDIF('Stratégie de Communication'!$C$8,C183,"m")+1</f>
        <v>6</v>
      </c>
    </row>
    <row r="184" spans="1:14" ht="30" customHeight="1" x14ac:dyDescent="0.3">
      <c r="A184" s="33"/>
      <c r="B184" s="19" t="str">
        <f t="shared" si="10"/>
        <v>Jeudi</v>
      </c>
      <c r="C184" s="20">
        <f>'Stratégie de Communication'!$C$8+178</f>
        <v>46597</v>
      </c>
      <c r="D184" s="19" t="str">
        <f t="shared" si="11"/>
        <v>juillet 2027</v>
      </c>
      <c r="E184" s="12"/>
      <c r="F184" s="12"/>
      <c r="G184" s="12"/>
      <c r="H184" s="12"/>
      <c r="I184" s="12"/>
      <c r="J184" s="12"/>
      <c r="K184" s="17"/>
      <c r="L184" s="12"/>
      <c r="M184" s="12" t="s">
        <v>55</v>
      </c>
      <c r="N184" s="18">
        <f>DATEDIF('Stratégie de Communication'!$C$8,C184,"m")+1</f>
        <v>6</v>
      </c>
    </row>
    <row r="185" spans="1:14" ht="30" customHeight="1" x14ac:dyDescent="0.3">
      <c r="A185" s="33"/>
      <c r="B185" s="19" t="str">
        <f t="shared" si="10"/>
        <v>Vendredi</v>
      </c>
      <c r="C185" s="20">
        <f>'Stratégie de Communication'!$C$8+179</f>
        <v>46598</v>
      </c>
      <c r="D185" s="19" t="str">
        <f t="shared" si="11"/>
        <v>juillet 2027</v>
      </c>
      <c r="E185" s="12"/>
      <c r="F185" s="12"/>
      <c r="G185" s="12"/>
      <c r="H185" s="12"/>
      <c r="I185" s="12"/>
      <c r="J185" s="12"/>
      <c r="K185" s="17"/>
      <c r="L185" s="12"/>
      <c r="M185" s="12" t="s">
        <v>55</v>
      </c>
      <c r="N185" s="18">
        <f>DATEDIF('Stratégie de Communication'!$C$8,C185,"m")+1</f>
        <v>6</v>
      </c>
    </row>
    <row r="186" spans="1:14" ht="30" customHeight="1" x14ac:dyDescent="0.3">
      <c r="A186" s="33"/>
      <c r="B186" s="19" t="str">
        <f t="shared" si="10"/>
        <v>Samedi</v>
      </c>
      <c r="C186" s="20">
        <f>'Stratégie de Communication'!$C$8+180</f>
        <v>46599</v>
      </c>
      <c r="D186" s="19" t="str">
        <f t="shared" si="11"/>
        <v>juillet 2027</v>
      </c>
      <c r="E186" s="12"/>
      <c r="F186" s="12"/>
      <c r="G186" s="12"/>
      <c r="H186" s="12"/>
      <c r="I186" s="12"/>
      <c r="J186" s="12"/>
      <c r="K186" s="17"/>
      <c r="L186" s="12"/>
      <c r="M186" s="12" t="s">
        <v>55</v>
      </c>
      <c r="N186" s="18">
        <f>DATEDIF('Stratégie de Communication'!$C$8,C186,"m")+1</f>
        <v>6</v>
      </c>
    </row>
    <row r="187" spans="1:14" ht="30" customHeight="1" x14ac:dyDescent="0.3">
      <c r="A187" s="33"/>
      <c r="B187" s="19" t="str">
        <f t="shared" si="10"/>
        <v>Dimanche</v>
      </c>
      <c r="C187" s="20">
        <f>'Stratégie de Communication'!$C$8+181</f>
        <v>46600</v>
      </c>
      <c r="D187" s="19" t="str">
        <f t="shared" si="11"/>
        <v>août 2027</v>
      </c>
      <c r="E187" s="12"/>
      <c r="F187" s="12"/>
      <c r="G187" s="12"/>
      <c r="H187" s="12"/>
      <c r="I187" s="12"/>
      <c r="J187" s="12"/>
      <c r="K187" s="17"/>
      <c r="L187" s="12"/>
      <c r="M187" s="12" t="s">
        <v>55</v>
      </c>
      <c r="N187" s="18">
        <f>DATEDIF('Stratégie de Communication'!$C$8,C187,"m")+1</f>
        <v>7</v>
      </c>
    </row>
  </sheetData>
  <sheetProtection algorithmName="SHA-512" hashValue="wuPLYV9Y1MSTM5huRmMj1HkM4c1kKXuJcoqU7eNrd5mr6jTbZe0J+DjFdUJXtnnYtXNCboAd/UIGKAgdaehXfw==" saltValue="VblT3USo4VBD5BcergevsQ==" spinCount="100000" sheet="1" objects="1" scenarios="1"/>
  <protectedRanges>
    <protectedRange sqref="E6:M187" name="Plage1"/>
  </protectedRanges>
  <mergeCells count="27">
    <mergeCell ref="A3:M3"/>
    <mergeCell ref="A6:A12"/>
    <mergeCell ref="A13:A19"/>
    <mergeCell ref="A20:A26"/>
    <mergeCell ref="A27:A33"/>
    <mergeCell ref="A34:A40"/>
    <mergeCell ref="A41:A47"/>
    <mergeCell ref="A48:A54"/>
    <mergeCell ref="A55:A61"/>
    <mergeCell ref="A62:A68"/>
    <mergeCell ref="A69:A75"/>
    <mergeCell ref="A76:A82"/>
    <mergeCell ref="A83:A89"/>
    <mergeCell ref="A90:A96"/>
    <mergeCell ref="A97:A103"/>
    <mergeCell ref="A104:A110"/>
    <mergeCell ref="A111:A117"/>
    <mergeCell ref="A118:A124"/>
    <mergeCell ref="A125:A131"/>
    <mergeCell ref="A132:A138"/>
    <mergeCell ref="A174:A180"/>
    <mergeCell ref="A181:A187"/>
    <mergeCell ref="A139:A145"/>
    <mergeCell ref="A146:A152"/>
    <mergeCell ref="A153:A159"/>
    <mergeCell ref="A160:A166"/>
    <mergeCell ref="A167:A173"/>
  </mergeCells>
  <conditionalFormatting sqref="M6:M187">
    <cfRule type="cellIs" dxfId="2" priority="2" operator="equal">
      <formula>"Publié"</formula>
    </cfRule>
    <cfRule type="cellIs" dxfId="1" priority="3" operator="equal">
      <formula>"En cours"</formula>
    </cfRule>
    <cfRule type="cellIs" dxfId="0" priority="4" operator="equal">
      <formula>"Reporté"</formula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errorTitle="Valeur non valide" error="Veuillez choisir une valeur dans la liste." xr:uid="{00000000-0002-0000-0400-000000000000}">
          <x14:formula1>
            <xm:f>Listes!$D$2:$D$10</xm:f>
          </x14:formula1>
          <x14:formula2>
            <xm:f>0</xm:f>
          </x14:formula2>
          <xm:sqref>G6:G187</xm:sqref>
        </x14:dataValidation>
        <x14:dataValidation type="list" allowBlank="1" showErrorMessage="1" errorTitle="Valeur non valide" error="Veuillez choisir une valeur dans la liste." xr:uid="{00000000-0002-0000-0400-000001000000}">
          <x14:formula1>
            <xm:f>Listes!$A$2:$A$11</xm:f>
          </x14:formula1>
          <x14:formula2>
            <xm:f>0</xm:f>
          </x14:formula2>
          <xm:sqref>H6:H187</xm:sqref>
        </x14:dataValidation>
        <x14:dataValidation type="list" allowBlank="1" showErrorMessage="1" errorTitle="Valeur non valide" error="Veuillez choisir une valeur dans la liste." xr:uid="{00000000-0002-0000-0400-000002000000}">
          <x14:formula1>
            <xm:f>Listes!$B$2:$B$9</xm:f>
          </x14:formula1>
          <x14:formula2>
            <xm:f>0</xm:f>
          </x14:formula2>
          <xm:sqref>I6:I187</xm:sqref>
        </x14:dataValidation>
        <x14:dataValidation type="list" allowBlank="1" showErrorMessage="1" errorTitle="Valeur non valide" error="Veuillez choisir une valeur dans la liste." xr:uid="{00000000-0002-0000-0400-000003000000}">
          <x14:formula1>
            <xm:f>Listes!$C$2:$C$9</xm:f>
          </x14:formula1>
          <x14:formula2>
            <xm:f>0</xm:f>
          </x14:formula2>
          <xm:sqref>J6:J187</xm:sqref>
        </x14:dataValidation>
        <x14:dataValidation type="list" allowBlank="1" showErrorMessage="1" errorTitle="Valeur non valide" error="Veuillez choisir une valeur dans la liste." xr:uid="{00000000-0002-0000-0400-000004000000}">
          <x14:formula1>
            <xm:f>Listes!$E$2:$E$5</xm:f>
          </x14:formula1>
          <x14:formula2>
            <xm:f>0</xm:f>
          </x14:formula2>
          <xm:sqref>M6:M187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J12"/>
  <sheetViews>
    <sheetView showGridLines="0" zoomScaleNormal="100" workbookViewId="0">
      <selection activeCell="D13" sqref="D13"/>
    </sheetView>
  </sheetViews>
  <sheetFormatPr baseColWidth="10" defaultColWidth="8.6640625" defaultRowHeight="14.4" x14ac:dyDescent="0.3"/>
  <cols>
    <col min="1" max="1" width="9" customWidth="1"/>
    <col min="2" max="2" width="20" customWidth="1"/>
    <col min="3" max="3" width="24" customWidth="1"/>
    <col min="4" max="4" width="30" customWidth="1"/>
    <col min="5" max="6" width="15" customWidth="1"/>
    <col min="7" max="7" width="14" customWidth="1"/>
    <col min="8" max="8" width="15" customWidth="1"/>
    <col min="9" max="9" width="12" customWidth="1"/>
    <col min="10" max="10" width="16" customWidth="1"/>
  </cols>
  <sheetData>
    <row r="2" spans="1:10" ht="21" x14ac:dyDescent="0.4">
      <c r="A2" s="48" t="s">
        <v>56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x14ac:dyDescent="0.3">
      <c r="A3" s="50" t="s">
        <v>57</v>
      </c>
      <c r="B3" s="50"/>
      <c r="C3" s="50"/>
      <c r="D3" s="50"/>
      <c r="E3" s="50"/>
      <c r="F3" s="50"/>
      <c r="G3" s="50"/>
      <c r="H3" s="50"/>
      <c r="I3" s="50"/>
      <c r="J3" s="50"/>
    </row>
    <row r="5" spans="1:10" ht="33.75" customHeight="1" x14ac:dyDescent="0.3">
      <c r="A5" s="13" t="s">
        <v>58</v>
      </c>
      <c r="B5" s="13" t="s">
        <v>59</v>
      </c>
      <c r="C5" s="13" t="s">
        <v>60</v>
      </c>
      <c r="D5" s="13" t="s">
        <v>61</v>
      </c>
      <c r="E5" s="13" t="s">
        <v>62</v>
      </c>
      <c r="F5" s="13" t="s">
        <v>63</v>
      </c>
      <c r="G5" s="13" t="s">
        <v>64</v>
      </c>
      <c r="H5" s="13" t="s">
        <v>65</v>
      </c>
      <c r="I5" s="13" t="s">
        <v>66</v>
      </c>
      <c r="J5" s="13" t="s">
        <v>67</v>
      </c>
    </row>
    <row r="6" spans="1:10" ht="39.75" customHeight="1" x14ac:dyDescent="0.3">
      <c r="A6" s="15">
        <v>1</v>
      </c>
      <c r="B6" s="15" t="str">
        <f>CHOOSE(MONTH(EDATE('Stratégie de Communication'!$C$7,0)),"janvier","février","mars","avril","mai","juin","juillet","août","septembre","octobre","novembre","décembre")&amp;" "&amp;YEAR(EDATE('Stratégie de Communication'!$C$7,0))</f>
        <v>août 2026</v>
      </c>
      <c r="C6" s="47" t="s">
        <v>68</v>
      </c>
      <c r="D6" s="12" t="s">
        <v>69</v>
      </c>
      <c r="E6" s="15">
        <f>COUNTIFS('Plan Hebdomadaire S1'!$N$6:$N$187,A6,'Plan Hebdomadaire S1'!$E$6:$E$187,"&lt;&gt;")</f>
        <v>1</v>
      </c>
      <c r="F6" s="15">
        <f>COUNTIFS('Plan Hebdomadaire S1'!$N$6:$N$187,A6,'Plan Hebdomadaire S1'!$H$6:$H$187,"&lt;&gt;")</f>
        <v>1</v>
      </c>
      <c r="G6" s="15">
        <f>COUNTIFS('Plan Hebdomadaire S1'!$N$6:$N$187,A6,'Plan Hebdomadaire S1'!$I$6:$I$187,"&lt;&gt;")</f>
        <v>1</v>
      </c>
      <c r="H6" s="15">
        <f>COUNTIFS('Plan Hebdomadaire S1'!$N$6:$N$187,A6,'Plan Hebdomadaire S1'!$J$6:$J$187,"&lt;&gt;",'Plan Hebdomadaire S1'!$J$6:$J$187,"&lt;&gt;Aucune")</f>
        <v>1</v>
      </c>
      <c r="I6" s="15">
        <f>COUNTIFS('Plan Hebdomadaire S1'!$N$6:$N$187,A6,'Plan Hebdomadaire S1'!$M$6:$M$187,"Publié")</f>
        <v>0</v>
      </c>
      <c r="J6" s="51">
        <f>SUMIFS('Plan Hebdomadaire S1'!$K$6:$K$187,'Plan Hebdomadaire S1'!$N$6:$N$187,A6)</f>
        <v>150</v>
      </c>
    </row>
    <row r="7" spans="1:10" ht="39.75" customHeight="1" x14ac:dyDescent="0.3">
      <c r="A7" s="15">
        <v>2</v>
      </c>
      <c r="B7" s="15" t="str">
        <f>CHOOSE(MONTH(EDATE('Stratégie de Communication'!$C$7,1)),"janvier","février","mars","avril","mai","juin","juillet","août","septembre","octobre","novembre","décembre")&amp;" "&amp;YEAR(EDATE('Stratégie de Communication'!$C$7,1))</f>
        <v>septembre 2026</v>
      </c>
      <c r="C7" s="12"/>
      <c r="D7" s="12"/>
      <c r="E7" s="15">
        <f>COUNTIFS('Plan Hebdomadaire S1'!$N$6:$N$187,A7,'Plan Hebdomadaire S1'!$E$6:$E$187,"&lt;&gt;")</f>
        <v>0</v>
      </c>
      <c r="F7" s="15">
        <f>COUNTIFS('Plan Hebdomadaire S1'!$N$6:$N$187,A7,'Plan Hebdomadaire S1'!$H$6:$H$187,"&lt;&gt;")</f>
        <v>0</v>
      </c>
      <c r="G7" s="15">
        <f>COUNTIFS('Plan Hebdomadaire S1'!$N$6:$N$187,A7,'Plan Hebdomadaire S1'!$I$6:$I$187,"&lt;&gt;")</f>
        <v>0</v>
      </c>
      <c r="H7" s="15">
        <f>COUNTIFS('Plan Hebdomadaire S1'!$N$6:$N$187,A7,'Plan Hebdomadaire S1'!$J$6:$J$187,"&lt;&gt;",'Plan Hebdomadaire S1'!$J$6:$J$187,"&lt;&gt;Aucune")</f>
        <v>0</v>
      </c>
      <c r="I7" s="15">
        <f>COUNTIFS('Plan Hebdomadaire S1'!$N$6:$N$187,A7,'Plan Hebdomadaire S1'!$M$6:$M$187,"Publié")</f>
        <v>0</v>
      </c>
      <c r="J7" s="51">
        <f>SUMIFS('Plan Hebdomadaire S1'!$K$6:$K$187,'Plan Hebdomadaire S1'!$N$6:$N$187,A7)</f>
        <v>0</v>
      </c>
    </row>
    <row r="8" spans="1:10" ht="39.75" customHeight="1" x14ac:dyDescent="0.3">
      <c r="A8" s="15">
        <v>3</v>
      </c>
      <c r="B8" s="15" t="str">
        <f>CHOOSE(MONTH(EDATE('Stratégie de Communication'!$C$7,2)),"janvier","février","mars","avril","mai","juin","juillet","août","septembre","octobre","novembre","décembre")&amp;" "&amp;YEAR(EDATE('Stratégie de Communication'!$C$7,2))</f>
        <v>octobre 2026</v>
      </c>
      <c r="C8" s="12"/>
      <c r="D8" s="12"/>
      <c r="E8" s="15">
        <f>COUNTIFS('Plan Hebdomadaire S1'!$N$6:$N$187,A8,'Plan Hebdomadaire S1'!$E$6:$E$187,"&lt;&gt;")</f>
        <v>0</v>
      </c>
      <c r="F8" s="15">
        <f>COUNTIFS('Plan Hebdomadaire S1'!$N$6:$N$187,A8,'Plan Hebdomadaire S1'!$H$6:$H$187,"&lt;&gt;")</f>
        <v>0</v>
      </c>
      <c r="G8" s="15">
        <f>COUNTIFS('Plan Hebdomadaire S1'!$N$6:$N$187,A8,'Plan Hebdomadaire S1'!$I$6:$I$187,"&lt;&gt;")</f>
        <v>0</v>
      </c>
      <c r="H8" s="15">
        <f>COUNTIFS('Plan Hebdomadaire S1'!$N$6:$N$187,A8,'Plan Hebdomadaire S1'!$J$6:$J$187,"&lt;&gt;",'Plan Hebdomadaire S1'!$J$6:$J$187,"&lt;&gt;Aucune")</f>
        <v>0</v>
      </c>
      <c r="I8" s="15">
        <f>COUNTIFS('Plan Hebdomadaire S1'!$N$6:$N$187,A8,'Plan Hebdomadaire S1'!$M$6:$M$187,"Publié")</f>
        <v>0</v>
      </c>
      <c r="J8" s="51">
        <f>SUMIFS('Plan Hebdomadaire S1'!$K$6:$K$187,'Plan Hebdomadaire S1'!$N$6:$N$187,A8)</f>
        <v>0</v>
      </c>
    </row>
    <row r="9" spans="1:10" ht="39.75" customHeight="1" x14ac:dyDescent="0.3">
      <c r="A9" s="15">
        <v>4</v>
      </c>
      <c r="B9" s="15" t="str">
        <f>CHOOSE(MONTH(EDATE('Stratégie de Communication'!$C$7,3)),"janvier","février","mars","avril","mai","juin","juillet","août","septembre","octobre","novembre","décembre")&amp;" "&amp;YEAR(EDATE('Stratégie de Communication'!$C$7,3))</f>
        <v>novembre 2026</v>
      </c>
      <c r="C9" s="12"/>
      <c r="D9" s="12"/>
      <c r="E9" s="15">
        <f>COUNTIFS('Plan Hebdomadaire S1'!$N$6:$N$187,A9,'Plan Hebdomadaire S1'!$E$6:$E$187,"&lt;&gt;")</f>
        <v>0</v>
      </c>
      <c r="F9" s="15">
        <f>COUNTIFS('Plan Hebdomadaire S1'!$N$6:$N$187,A9,'Plan Hebdomadaire S1'!$H$6:$H$187,"&lt;&gt;")</f>
        <v>0</v>
      </c>
      <c r="G9" s="15">
        <f>COUNTIFS('Plan Hebdomadaire S1'!$N$6:$N$187,A9,'Plan Hebdomadaire S1'!$I$6:$I$187,"&lt;&gt;")</f>
        <v>0</v>
      </c>
      <c r="H9" s="15">
        <f>COUNTIFS('Plan Hebdomadaire S1'!$N$6:$N$187,A9,'Plan Hebdomadaire S1'!$J$6:$J$187,"&lt;&gt;",'Plan Hebdomadaire S1'!$J$6:$J$187,"&lt;&gt;Aucune")</f>
        <v>0</v>
      </c>
      <c r="I9" s="15">
        <f>COUNTIFS('Plan Hebdomadaire S1'!$N$6:$N$187,A9,'Plan Hebdomadaire S1'!$M$6:$M$187,"Publié")</f>
        <v>0</v>
      </c>
      <c r="J9" s="51">
        <f>SUMIFS('Plan Hebdomadaire S1'!$K$6:$K$187,'Plan Hebdomadaire S1'!$N$6:$N$187,A9)</f>
        <v>0</v>
      </c>
    </row>
    <row r="10" spans="1:10" ht="39.75" customHeight="1" x14ac:dyDescent="0.3">
      <c r="A10" s="15">
        <v>5</v>
      </c>
      <c r="B10" s="15" t="str">
        <f>CHOOSE(MONTH(EDATE('Stratégie de Communication'!$C$7,4)),"janvier","février","mars","avril","mai","juin","juillet","août","septembre","octobre","novembre","décembre")&amp;" "&amp;YEAR(EDATE('Stratégie de Communication'!$C$7,4))</f>
        <v>décembre 2026</v>
      </c>
      <c r="C10" s="12"/>
      <c r="D10" s="12"/>
      <c r="E10" s="15">
        <f>COUNTIFS('Plan Hebdomadaire S1'!$N$6:$N$187,A10,'Plan Hebdomadaire S1'!$E$6:$E$187,"&lt;&gt;")</f>
        <v>0</v>
      </c>
      <c r="F10" s="15">
        <f>COUNTIFS('Plan Hebdomadaire S1'!$N$6:$N$187,A10,'Plan Hebdomadaire S1'!$H$6:$H$187,"&lt;&gt;")</f>
        <v>0</v>
      </c>
      <c r="G10" s="15">
        <f>COUNTIFS('Plan Hebdomadaire S1'!$N$6:$N$187,A10,'Plan Hebdomadaire S1'!$I$6:$I$187,"&lt;&gt;")</f>
        <v>0</v>
      </c>
      <c r="H10" s="15">
        <f>COUNTIFS('Plan Hebdomadaire S1'!$N$6:$N$187,A10,'Plan Hebdomadaire S1'!$J$6:$J$187,"&lt;&gt;",'Plan Hebdomadaire S1'!$J$6:$J$187,"&lt;&gt;Aucune")</f>
        <v>0</v>
      </c>
      <c r="I10" s="15">
        <f>COUNTIFS('Plan Hebdomadaire S1'!$N$6:$N$187,A10,'Plan Hebdomadaire S1'!$M$6:$M$187,"Publié")</f>
        <v>0</v>
      </c>
      <c r="J10" s="51">
        <f>SUMIFS('Plan Hebdomadaire S1'!$K$6:$K$187,'Plan Hebdomadaire S1'!$N$6:$N$187,A10)</f>
        <v>0</v>
      </c>
    </row>
    <row r="11" spans="1:10" ht="39.75" customHeight="1" x14ac:dyDescent="0.3">
      <c r="A11" s="15">
        <v>6</v>
      </c>
      <c r="B11" s="15" t="str">
        <f>CHOOSE(MONTH(EDATE('Stratégie de Communication'!$C$7,5)),"janvier","février","mars","avril","mai","juin","juillet","août","septembre","octobre","novembre","décembre")&amp;" "&amp;YEAR(EDATE('Stratégie de Communication'!$C$7,5))</f>
        <v>janvier 2027</v>
      </c>
      <c r="C11" s="12"/>
      <c r="D11" s="12"/>
      <c r="E11" s="15">
        <f>COUNTIFS('Plan Hebdomadaire S1'!$N$6:$N$187,A11,'Plan Hebdomadaire S1'!$E$6:$E$187,"&lt;&gt;")</f>
        <v>0</v>
      </c>
      <c r="F11" s="15">
        <f>COUNTIFS('Plan Hebdomadaire S1'!$N$6:$N$187,A11,'Plan Hebdomadaire S1'!$H$6:$H$187,"&lt;&gt;")</f>
        <v>0</v>
      </c>
      <c r="G11" s="15">
        <f>COUNTIFS('Plan Hebdomadaire S1'!$N$6:$N$187,A11,'Plan Hebdomadaire S1'!$I$6:$I$187,"&lt;&gt;")</f>
        <v>0</v>
      </c>
      <c r="H11" s="15">
        <f>COUNTIFS('Plan Hebdomadaire S1'!$N$6:$N$187,A11,'Plan Hebdomadaire S1'!$J$6:$J$187,"&lt;&gt;",'Plan Hebdomadaire S1'!$J$6:$J$187,"&lt;&gt;Aucune")</f>
        <v>0</v>
      </c>
      <c r="I11" s="15">
        <f>COUNTIFS('Plan Hebdomadaire S1'!$N$6:$N$187,A11,'Plan Hebdomadaire S1'!$M$6:$M$187,"Publié")</f>
        <v>0</v>
      </c>
      <c r="J11" s="51">
        <f>SUMIFS('Plan Hebdomadaire S1'!$K$6:$K$187,'Plan Hebdomadaire S1'!$N$6:$N$187,A11)</f>
        <v>0</v>
      </c>
    </row>
    <row r="12" spans="1:10" x14ac:dyDescent="0.3">
      <c r="B12" s="22" t="s">
        <v>70</v>
      </c>
      <c r="E12" s="22">
        <f t="shared" ref="E12:J12" si="0">SUM(E6:E11)</f>
        <v>1</v>
      </c>
      <c r="F12" s="22">
        <f t="shared" si="0"/>
        <v>1</v>
      </c>
      <c r="G12" s="22">
        <f t="shared" si="0"/>
        <v>1</v>
      </c>
      <c r="H12" s="22">
        <f t="shared" si="0"/>
        <v>1</v>
      </c>
      <c r="I12" s="22">
        <f t="shared" si="0"/>
        <v>0</v>
      </c>
      <c r="J12" s="23">
        <f t="shared" si="0"/>
        <v>150</v>
      </c>
    </row>
  </sheetData>
  <sheetProtection algorithmName="SHA-512" hashValue="NsBrxYgj8JOaWshhIWR2e4I8Nq7Z+V1vuPxWLphYlj/jYo/TJ4MBNemD3xYSX4rvFoRD4+V4abhGxWjWA77aqw==" saltValue="mnhtHhrH0pYsti3JU+9SFQ==" spinCount="100000" sheet="1" objects="1" scenarios="1"/>
  <protectedRanges>
    <protectedRange sqref="C6:D11" name="Plage1"/>
  </protectedRanges>
  <mergeCells count="1">
    <mergeCell ref="A3:J3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2:J12"/>
  <sheetViews>
    <sheetView showGridLines="0" tabSelected="1" zoomScaleNormal="100" workbookViewId="0">
      <selection activeCell="C6" sqref="C6:D11"/>
    </sheetView>
  </sheetViews>
  <sheetFormatPr baseColWidth="10" defaultColWidth="8.6640625" defaultRowHeight="14.4" x14ac:dyDescent="0.3"/>
  <cols>
    <col min="1" max="1" width="9" customWidth="1"/>
    <col min="2" max="2" width="20" customWidth="1"/>
    <col min="3" max="3" width="34" customWidth="1"/>
    <col min="4" max="4" width="30" customWidth="1"/>
    <col min="5" max="6" width="15" customWidth="1"/>
    <col min="7" max="7" width="14" customWidth="1"/>
    <col min="8" max="8" width="15" customWidth="1"/>
    <col min="9" max="9" width="12" customWidth="1"/>
    <col min="10" max="10" width="16" customWidth="1"/>
  </cols>
  <sheetData>
    <row r="2" spans="1:10" ht="21" x14ac:dyDescent="0.4">
      <c r="A2" s="52" t="s">
        <v>72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3">
      <c r="A3" s="54" t="s">
        <v>57</v>
      </c>
      <c r="B3" s="54"/>
      <c r="C3" s="54"/>
      <c r="D3" s="54"/>
      <c r="E3" s="54"/>
      <c r="F3" s="54"/>
      <c r="G3" s="54"/>
      <c r="H3" s="54"/>
      <c r="I3" s="54"/>
      <c r="J3" s="54"/>
    </row>
    <row r="5" spans="1:10" ht="33.75" customHeight="1" x14ac:dyDescent="0.3">
      <c r="A5" s="13" t="s">
        <v>58</v>
      </c>
      <c r="B5" s="13" t="s">
        <v>59</v>
      </c>
      <c r="C5" s="13" t="s">
        <v>60</v>
      </c>
      <c r="D5" s="13" t="s">
        <v>61</v>
      </c>
      <c r="E5" s="13" t="s">
        <v>62</v>
      </c>
      <c r="F5" s="13" t="s">
        <v>63</v>
      </c>
      <c r="G5" s="13" t="s">
        <v>64</v>
      </c>
      <c r="H5" s="13" t="s">
        <v>65</v>
      </c>
      <c r="I5" s="13" t="s">
        <v>66</v>
      </c>
      <c r="J5" s="13" t="s">
        <v>67</v>
      </c>
    </row>
    <row r="6" spans="1:10" ht="39.75" customHeight="1" x14ac:dyDescent="0.3">
      <c r="A6" s="15">
        <v>1</v>
      </c>
      <c r="B6" s="15" t="str">
        <f>CHOOSE(MONTH(EDATE('Stratégie de Communication'!$C$8,0)),"janvier","février","mars","avril","mai","juin","juillet","août","septembre","octobre","novembre","décembre")&amp;" "&amp;YEAR(EDATE('Stratégie de Communication'!$C$8,0))</f>
        <v>février 2027</v>
      </c>
      <c r="C6" s="12"/>
      <c r="D6" s="12"/>
      <c r="E6" s="15">
        <f>COUNTIFS('Plan Hebdomadaire S2'!$N$6:$N$187,A6,'Plan Hebdomadaire S2'!$E$6:$E$187,"&lt;&gt;")</f>
        <v>0</v>
      </c>
      <c r="F6" s="15">
        <f>COUNTIFS('Plan Hebdomadaire S2'!$N$6:$N$187,A6,'Plan Hebdomadaire S2'!$H$6:$H$187,"&lt;&gt;")</f>
        <v>0</v>
      </c>
      <c r="G6" s="15">
        <f>COUNTIFS('Plan Hebdomadaire S2'!$N$6:$N$187,A6,'Plan Hebdomadaire S2'!$I$6:$I$187,"&lt;&gt;")</f>
        <v>0</v>
      </c>
      <c r="H6" s="15">
        <f>COUNTIFS('Plan Hebdomadaire S2'!$N$6:$N$187,A6,'Plan Hebdomadaire S2'!$J$6:$J$187,"&lt;&gt;",'Plan Hebdomadaire S2'!$J$6:$J$187,"&lt;&gt;Aucune")</f>
        <v>0</v>
      </c>
      <c r="I6" s="15">
        <f>COUNTIFS('Plan Hebdomadaire S2'!$N$6:$N$187,A6,'Plan Hebdomadaire S2'!$M$6:$M$187,"Publié")</f>
        <v>0</v>
      </c>
      <c r="J6" s="21">
        <f>SUMIFS('Plan Hebdomadaire S2'!$K$6:$K$187,'Plan Hebdomadaire S2'!$N$6:$N$187,A6)</f>
        <v>0</v>
      </c>
    </row>
    <row r="7" spans="1:10" ht="39.75" customHeight="1" x14ac:dyDescent="0.3">
      <c r="A7" s="15">
        <v>2</v>
      </c>
      <c r="B7" s="15" t="str">
        <f>CHOOSE(MONTH(EDATE('Stratégie de Communication'!$C$8,1)),"janvier","février","mars","avril","mai","juin","juillet","août","septembre","octobre","novembre","décembre")&amp;" "&amp;YEAR(EDATE('Stratégie de Communication'!$C$8,1))</f>
        <v>mars 2027</v>
      </c>
      <c r="C7" s="12"/>
      <c r="D7" s="12"/>
      <c r="E7" s="15">
        <f>COUNTIFS('Plan Hebdomadaire S2'!$N$6:$N$187,A7,'Plan Hebdomadaire S2'!$E$6:$E$187,"&lt;&gt;")</f>
        <v>0</v>
      </c>
      <c r="F7" s="15">
        <f>COUNTIFS('Plan Hebdomadaire S2'!$N$6:$N$187,A7,'Plan Hebdomadaire S2'!$H$6:$H$187,"&lt;&gt;")</f>
        <v>0</v>
      </c>
      <c r="G7" s="15">
        <f>COUNTIFS('Plan Hebdomadaire S2'!$N$6:$N$187,A7,'Plan Hebdomadaire S2'!$I$6:$I$187,"&lt;&gt;")</f>
        <v>0</v>
      </c>
      <c r="H7" s="15">
        <f>COUNTIFS('Plan Hebdomadaire S2'!$N$6:$N$187,A7,'Plan Hebdomadaire S2'!$J$6:$J$187,"&lt;&gt;",'Plan Hebdomadaire S2'!$J$6:$J$187,"&lt;&gt;Aucune")</f>
        <v>0</v>
      </c>
      <c r="I7" s="15">
        <f>COUNTIFS('Plan Hebdomadaire S2'!$N$6:$N$187,A7,'Plan Hebdomadaire S2'!$M$6:$M$187,"Publié")</f>
        <v>0</v>
      </c>
      <c r="J7" s="21">
        <f>SUMIFS('Plan Hebdomadaire S2'!$K$6:$K$187,'Plan Hebdomadaire S2'!$N$6:$N$187,A7)</f>
        <v>0</v>
      </c>
    </row>
    <row r="8" spans="1:10" ht="39.75" customHeight="1" x14ac:dyDescent="0.3">
      <c r="A8" s="15">
        <v>3</v>
      </c>
      <c r="B8" s="15" t="str">
        <f>CHOOSE(MONTH(EDATE('Stratégie de Communication'!$C$8,2)),"janvier","février","mars","avril","mai","juin","juillet","août","septembre","octobre","novembre","décembre")&amp;" "&amp;YEAR(EDATE('Stratégie de Communication'!$C$8,2))</f>
        <v>avril 2027</v>
      </c>
      <c r="C8" s="12"/>
      <c r="D8" s="12"/>
      <c r="E8" s="15">
        <f>COUNTIFS('Plan Hebdomadaire S2'!$N$6:$N$187,A8,'Plan Hebdomadaire S2'!$E$6:$E$187,"&lt;&gt;")</f>
        <v>0</v>
      </c>
      <c r="F8" s="15">
        <f>COUNTIFS('Plan Hebdomadaire S2'!$N$6:$N$187,A8,'Plan Hebdomadaire S2'!$H$6:$H$187,"&lt;&gt;")</f>
        <v>0</v>
      </c>
      <c r="G8" s="15">
        <f>COUNTIFS('Plan Hebdomadaire S2'!$N$6:$N$187,A8,'Plan Hebdomadaire S2'!$I$6:$I$187,"&lt;&gt;")</f>
        <v>0</v>
      </c>
      <c r="H8" s="15">
        <f>COUNTIFS('Plan Hebdomadaire S2'!$N$6:$N$187,A8,'Plan Hebdomadaire S2'!$J$6:$J$187,"&lt;&gt;",'Plan Hebdomadaire S2'!$J$6:$J$187,"&lt;&gt;Aucune")</f>
        <v>0</v>
      </c>
      <c r="I8" s="15">
        <f>COUNTIFS('Plan Hebdomadaire S2'!$N$6:$N$187,A8,'Plan Hebdomadaire S2'!$M$6:$M$187,"Publié")</f>
        <v>0</v>
      </c>
      <c r="J8" s="21">
        <f>SUMIFS('Plan Hebdomadaire S2'!$K$6:$K$187,'Plan Hebdomadaire S2'!$N$6:$N$187,A8)</f>
        <v>0</v>
      </c>
    </row>
    <row r="9" spans="1:10" ht="39.75" customHeight="1" x14ac:dyDescent="0.3">
      <c r="A9" s="15">
        <v>4</v>
      </c>
      <c r="B9" s="15" t="str">
        <f>CHOOSE(MONTH(EDATE('Stratégie de Communication'!$C$8,3)),"janvier","février","mars","avril","mai","juin","juillet","août","septembre","octobre","novembre","décembre")&amp;" "&amp;YEAR(EDATE('Stratégie de Communication'!$C$8,3))</f>
        <v>mai 2027</v>
      </c>
      <c r="C9" s="12"/>
      <c r="D9" s="12"/>
      <c r="E9" s="15">
        <f>COUNTIFS('Plan Hebdomadaire S2'!$N$6:$N$187,A9,'Plan Hebdomadaire S2'!$E$6:$E$187,"&lt;&gt;")</f>
        <v>0</v>
      </c>
      <c r="F9" s="15">
        <f>COUNTIFS('Plan Hebdomadaire S2'!$N$6:$N$187,A9,'Plan Hebdomadaire S2'!$H$6:$H$187,"&lt;&gt;")</f>
        <v>0</v>
      </c>
      <c r="G9" s="15">
        <f>COUNTIFS('Plan Hebdomadaire S2'!$N$6:$N$187,A9,'Plan Hebdomadaire S2'!$I$6:$I$187,"&lt;&gt;")</f>
        <v>0</v>
      </c>
      <c r="H9" s="15">
        <f>COUNTIFS('Plan Hebdomadaire S2'!$N$6:$N$187,A9,'Plan Hebdomadaire S2'!$J$6:$J$187,"&lt;&gt;",'Plan Hebdomadaire S2'!$J$6:$J$187,"&lt;&gt;Aucune")</f>
        <v>0</v>
      </c>
      <c r="I9" s="15">
        <f>COUNTIFS('Plan Hebdomadaire S2'!$N$6:$N$187,A9,'Plan Hebdomadaire S2'!$M$6:$M$187,"Publié")</f>
        <v>0</v>
      </c>
      <c r="J9" s="21">
        <f>SUMIFS('Plan Hebdomadaire S2'!$K$6:$K$187,'Plan Hebdomadaire S2'!$N$6:$N$187,A9)</f>
        <v>0</v>
      </c>
    </row>
    <row r="10" spans="1:10" ht="39.75" customHeight="1" x14ac:dyDescent="0.3">
      <c r="A10" s="15">
        <v>5</v>
      </c>
      <c r="B10" s="15" t="str">
        <f>CHOOSE(MONTH(EDATE('Stratégie de Communication'!$C$8,4)),"janvier","février","mars","avril","mai","juin","juillet","août","septembre","octobre","novembre","décembre")&amp;" "&amp;YEAR(EDATE('Stratégie de Communication'!$C$8,4))</f>
        <v>juin 2027</v>
      </c>
      <c r="C10" s="12"/>
      <c r="D10" s="12"/>
      <c r="E10" s="15">
        <f>COUNTIFS('Plan Hebdomadaire S2'!$N$6:$N$187,A10,'Plan Hebdomadaire S2'!$E$6:$E$187,"&lt;&gt;")</f>
        <v>0</v>
      </c>
      <c r="F10" s="15">
        <f>COUNTIFS('Plan Hebdomadaire S2'!$N$6:$N$187,A10,'Plan Hebdomadaire S2'!$H$6:$H$187,"&lt;&gt;")</f>
        <v>0</v>
      </c>
      <c r="G10" s="15">
        <f>COUNTIFS('Plan Hebdomadaire S2'!$N$6:$N$187,A10,'Plan Hebdomadaire S2'!$I$6:$I$187,"&lt;&gt;")</f>
        <v>0</v>
      </c>
      <c r="H10" s="15">
        <f>COUNTIFS('Plan Hebdomadaire S2'!$N$6:$N$187,A10,'Plan Hebdomadaire S2'!$J$6:$J$187,"&lt;&gt;",'Plan Hebdomadaire S2'!$J$6:$J$187,"&lt;&gt;Aucune")</f>
        <v>0</v>
      </c>
      <c r="I10" s="15">
        <f>COUNTIFS('Plan Hebdomadaire S2'!$N$6:$N$187,A10,'Plan Hebdomadaire S2'!$M$6:$M$187,"Publié")</f>
        <v>0</v>
      </c>
      <c r="J10" s="21">
        <f>SUMIFS('Plan Hebdomadaire S2'!$K$6:$K$187,'Plan Hebdomadaire S2'!$N$6:$N$187,A10)</f>
        <v>0</v>
      </c>
    </row>
    <row r="11" spans="1:10" ht="39.75" customHeight="1" x14ac:dyDescent="0.3">
      <c r="A11" s="15">
        <v>6</v>
      </c>
      <c r="B11" s="15" t="str">
        <f>CHOOSE(MONTH(EDATE('Stratégie de Communication'!$C$8,5)),"janvier","février","mars","avril","mai","juin","juillet","août","septembre","octobre","novembre","décembre")&amp;" "&amp;YEAR(EDATE('Stratégie de Communication'!$C$8,5))</f>
        <v>juillet 2027</v>
      </c>
      <c r="C11" s="12"/>
      <c r="D11" s="12"/>
      <c r="E11" s="15">
        <f>COUNTIFS('Plan Hebdomadaire S2'!$N$6:$N$187,A11,'Plan Hebdomadaire S2'!$E$6:$E$187,"&lt;&gt;")</f>
        <v>0</v>
      </c>
      <c r="F11" s="15">
        <f>COUNTIFS('Plan Hebdomadaire S2'!$N$6:$N$187,A11,'Plan Hebdomadaire S2'!$H$6:$H$187,"&lt;&gt;")</f>
        <v>0</v>
      </c>
      <c r="G11" s="15">
        <f>COUNTIFS('Plan Hebdomadaire S2'!$N$6:$N$187,A11,'Plan Hebdomadaire S2'!$I$6:$I$187,"&lt;&gt;")</f>
        <v>0</v>
      </c>
      <c r="H11" s="15">
        <f>COUNTIFS('Plan Hebdomadaire S2'!$N$6:$N$187,A11,'Plan Hebdomadaire S2'!$J$6:$J$187,"&lt;&gt;",'Plan Hebdomadaire S2'!$J$6:$J$187,"&lt;&gt;Aucune")</f>
        <v>0</v>
      </c>
      <c r="I11" s="15">
        <f>COUNTIFS('Plan Hebdomadaire S2'!$N$6:$N$187,A11,'Plan Hebdomadaire S2'!$M$6:$M$187,"Publié")</f>
        <v>0</v>
      </c>
      <c r="J11" s="21">
        <f>SUMIFS('Plan Hebdomadaire S2'!$K$6:$K$187,'Plan Hebdomadaire S2'!$N$6:$N$187,A11)</f>
        <v>0</v>
      </c>
    </row>
    <row r="12" spans="1:10" x14ac:dyDescent="0.3">
      <c r="B12" s="22" t="s">
        <v>73</v>
      </c>
      <c r="E12" s="22">
        <f t="shared" ref="E12:J12" si="0">SUM(E6:E11)</f>
        <v>0</v>
      </c>
      <c r="F12" s="22">
        <f t="shared" si="0"/>
        <v>0</v>
      </c>
      <c r="G12" s="22">
        <f t="shared" si="0"/>
        <v>0</v>
      </c>
      <c r="H12" s="22">
        <f t="shared" si="0"/>
        <v>0</v>
      </c>
      <c r="I12" s="22">
        <f t="shared" si="0"/>
        <v>0</v>
      </c>
      <c r="J12" s="23">
        <f t="shared" si="0"/>
        <v>0</v>
      </c>
    </row>
  </sheetData>
  <sheetProtection algorithmName="SHA-512" hashValue="p3D2kUQlrHQI214DWlK/l2lqwl52e1FjbQ6Z+iH7Rsy1gzNjxBhnpJlig6FzRALAANXia38ULHiUOpHO8y+5Tg==" saltValue="klfQRqjgH5RdUFjTuXxIyg==" spinCount="100000" sheet="1" objects="1" scenarios="1"/>
  <protectedRanges>
    <protectedRange sqref="C6:D11" name="Plage1"/>
  </protectedRanges>
  <mergeCells count="1">
    <mergeCell ref="A3:J3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2:F18"/>
  <sheetViews>
    <sheetView showGridLines="0" zoomScaleNormal="100" workbookViewId="0">
      <selection activeCell="C8" sqref="C8"/>
    </sheetView>
  </sheetViews>
  <sheetFormatPr baseColWidth="10" defaultColWidth="8.6640625" defaultRowHeight="14.4" x14ac:dyDescent="0.3"/>
  <cols>
    <col min="1" max="1" width="9" customWidth="1"/>
    <col min="2" max="2" width="20" customWidth="1"/>
    <col min="3" max="3" width="26" customWidth="1"/>
    <col min="4" max="4" width="32" customWidth="1"/>
    <col min="5" max="5" width="18" customWidth="1"/>
    <col min="6" max="6" width="16" customWidth="1"/>
  </cols>
  <sheetData>
    <row r="2" spans="1:6" ht="21" x14ac:dyDescent="0.4">
      <c r="A2" s="55" t="s">
        <v>74</v>
      </c>
      <c r="B2" s="56"/>
      <c r="C2" s="56"/>
      <c r="D2" s="56"/>
      <c r="E2" s="56"/>
      <c r="F2" s="56"/>
    </row>
    <row r="3" spans="1:6" x14ac:dyDescent="0.3">
      <c r="A3" s="57" t="s">
        <v>75</v>
      </c>
      <c r="B3" s="57"/>
      <c r="C3" s="57"/>
      <c r="D3" s="57"/>
      <c r="E3" s="57"/>
      <c r="F3" s="57"/>
    </row>
    <row r="5" spans="1:6" ht="30" customHeight="1" x14ac:dyDescent="0.3">
      <c r="A5" s="13" t="s">
        <v>58</v>
      </c>
      <c r="B5" s="13" t="s">
        <v>59</v>
      </c>
      <c r="C5" s="13" t="s">
        <v>60</v>
      </c>
      <c r="D5" s="13" t="s">
        <v>76</v>
      </c>
      <c r="E5" s="13" t="s">
        <v>62</v>
      </c>
      <c r="F5" s="13" t="s">
        <v>77</v>
      </c>
    </row>
    <row r="6" spans="1:6" ht="33.75" customHeight="1" x14ac:dyDescent="0.3">
      <c r="A6" s="58">
        <v>1</v>
      </c>
      <c r="B6" s="58" t="str">
        <f>'Plan Mensuel S1'!B6</f>
        <v>août 2026</v>
      </c>
      <c r="C6" s="24" t="str">
        <f>'Plan Mensuel S1'!C6</f>
        <v>Lancement de la notoriété</v>
      </c>
      <c r="D6" s="24" t="str">
        <f>'Plan Mensuel S1'!D6</f>
        <v>Faire connaître le problème du suivi de plan stratégique</v>
      </c>
      <c r="E6" s="24">
        <f>'Plan Mensuel S1'!E6</f>
        <v>1</v>
      </c>
      <c r="F6" s="25">
        <f>'Plan Mensuel S1'!J6</f>
        <v>150</v>
      </c>
    </row>
    <row r="7" spans="1:6" ht="33.75" customHeight="1" x14ac:dyDescent="0.3">
      <c r="A7" s="58">
        <v>2</v>
      </c>
      <c r="B7" s="58" t="str">
        <f>'Plan Mensuel S1'!B7</f>
        <v>septembre 2026</v>
      </c>
      <c r="C7" s="24">
        <f>'Plan Mensuel S1'!C7</f>
        <v>0</v>
      </c>
      <c r="D7" s="24">
        <f>'Plan Mensuel S1'!D7</f>
        <v>0</v>
      </c>
      <c r="E7" s="24">
        <f>'Plan Mensuel S1'!E7</f>
        <v>0</v>
      </c>
      <c r="F7" s="25">
        <f>'Plan Mensuel S1'!J7</f>
        <v>0</v>
      </c>
    </row>
    <row r="8" spans="1:6" ht="33.75" customHeight="1" x14ac:dyDescent="0.3">
      <c r="A8" s="58">
        <v>3</v>
      </c>
      <c r="B8" s="58" t="str">
        <f>'Plan Mensuel S1'!B8</f>
        <v>octobre 2026</v>
      </c>
      <c r="C8" s="24">
        <f>'Plan Mensuel S1'!C8</f>
        <v>0</v>
      </c>
      <c r="D8" s="24">
        <f>'Plan Mensuel S1'!D8</f>
        <v>0</v>
      </c>
      <c r="E8" s="24">
        <f>'Plan Mensuel S1'!E8</f>
        <v>0</v>
      </c>
      <c r="F8" s="25">
        <f>'Plan Mensuel S1'!J8</f>
        <v>0</v>
      </c>
    </row>
    <row r="9" spans="1:6" ht="33.75" customHeight="1" x14ac:dyDescent="0.3">
      <c r="A9" s="58">
        <v>4</v>
      </c>
      <c r="B9" s="58" t="str">
        <f>'Plan Mensuel S1'!B9</f>
        <v>novembre 2026</v>
      </c>
      <c r="C9" s="24">
        <f>'Plan Mensuel S1'!C9</f>
        <v>0</v>
      </c>
      <c r="D9" s="24">
        <f>'Plan Mensuel S1'!D9</f>
        <v>0</v>
      </c>
      <c r="E9" s="24">
        <f>'Plan Mensuel S1'!E9</f>
        <v>0</v>
      </c>
      <c r="F9" s="25">
        <f>'Plan Mensuel S1'!J9</f>
        <v>0</v>
      </c>
    </row>
    <row r="10" spans="1:6" ht="33.75" customHeight="1" x14ac:dyDescent="0.3">
      <c r="A10" s="58">
        <v>5</v>
      </c>
      <c r="B10" s="58" t="str">
        <f>'Plan Mensuel S1'!B10</f>
        <v>décembre 2026</v>
      </c>
      <c r="C10" s="24">
        <f>'Plan Mensuel S1'!C10</f>
        <v>0</v>
      </c>
      <c r="D10" s="24">
        <f>'Plan Mensuel S1'!D10</f>
        <v>0</v>
      </c>
      <c r="E10" s="24">
        <f>'Plan Mensuel S1'!E10</f>
        <v>0</v>
      </c>
      <c r="F10" s="25">
        <f>'Plan Mensuel S1'!J10</f>
        <v>0</v>
      </c>
    </row>
    <row r="11" spans="1:6" ht="33.75" customHeight="1" x14ac:dyDescent="0.3">
      <c r="A11" s="58">
        <v>6</v>
      </c>
      <c r="B11" s="58" t="str">
        <f>'Plan Mensuel S1'!B11</f>
        <v>janvier 2027</v>
      </c>
      <c r="C11" s="24">
        <f>'Plan Mensuel S1'!C11</f>
        <v>0</v>
      </c>
      <c r="D11" s="24">
        <f>'Plan Mensuel S1'!D11</f>
        <v>0</v>
      </c>
      <c r="E11" s="24">
        <f>'Plan Mensuel S1'!E11</f>
        <v>0</v>
      </c>
      <c r="F11" s="25">
        <f>'Plan Mensuel S1'!J11</f>
        <v>0</v>
      </c>
    </row>
    <row r="12" spans="1:6" ht="33.75" customHeight="1" x14ac:dyDescent="0.3">
      <c r="A12" s="58">
        <v>7</v>
      </c>
      <c r="B12" s="58" t="str">
        <f>'Plan Mensuel S2'!B6</f>
        <v>février 2027</v>
      </c>
      <c r="C12" s="24">
        <f>'Plan Mensuel S2'!C6</f>
        <v>0</v>
      </c>
      <c r="D12" s="24">
        <f>'Plan Mensuel S2'!D6</f>
        <v>0</v>
      </c>
      <c r="E12" s="24">
        <f>'Plan Mensuel S2'!E6</f>
        <v>0</v>
      </c>
      <c r="F12" s="25">
        <f>'Plan Mensuel S2'!J6</f>
        <v>0</v>
      </c>
    </row>
    <row r="13" spans="1:6" ht="33.75" customHeight="1" x14ac:dyDescent="0.3">
      <c r="A13" s="58">
        <v>8</v>
      </c>
      <c r="B13" s="58" t="str">
        <f>'Plan Mensuel S2'!B7</f>
        <v>mars 2027</v>
      </c>
      <c r="C13" s="24">
        <f>'Plan Mensuel S2'!C7</f>
        <v>0</v>
      </c>
      <c r="D13" s="24">
        <f>'Plan Mensuel S2'!D7</f>
        <v>0</v>
      </c>
      <c r="E13" s="24">
        <f>'Plan Mensuel S2'!E7</f>
        <v>0</v>
      </c>
      <c r="F13" s="25">
        <f>'Plan Mensuel S2'!J7</f>
        <v>0</v>
      </c>
    </row>
    <row r="14" spans="1:6" ht="33.75" customHeight="1" x14ac:dyDescent="0.3">
      <c r="A14" s="58">
        <v>9</v>
      </c>
      <c r="B14" s="58" t="str">
        <f>'Plan Mensuel S2'!B8</f>
        <v>avril 2027</v>
      </c>
      <c r="C14" s="24">
        <f>'Plan Mensuel S2'!C8</f>
        <v>0</v>
      </c>
      <c r="D14" s="24">
        <f>'Plan Mensuel S2'!D8</f>
        <v>0</v>
      </c>
      <c r="E14" s="24">
        <f>'Plan Mensuel S2'!E8</f>
        <v>0</v>
      </c>
      <c r="F14" s="25">
        <f>'Plan Mensuel S2'!J8</f>
        <v>0</v>
      </c>
    </row>
    <row r="15" spans="1:6" ht="33.75" customHeight="1" x14ac:dyDescent="0.3">
      <c r="A15" s="58">
        <v>10</v>
      </c>
      <c r="B15" s="58" t="str">
        <f>'Plan Mensuel S2'!B9</f>
        <v>mai 2027</v>
      </c>
      <c r="C15" s="24">
        <f>'Plan Mensuel S2'!C9</f>
        <v>0</v>
      </c>
      <c r="D15" s="24">
        <f>'Plan Mensuel S2'!D9</f>
        <v>0</v>
      </c>
      <c r="E15" s="24">
        <f>'Plan Mensuel S2'!E9</f>
        <v>0</v>
      </c>
      <c r="F15" s="25">
        <f>'Plan Mensuel S2'!J9</f>
        <v>0</v>
      </c>
    </row>
    <row r="16" spans="1:6" ht="33.75" customHeight="1" x14ac:dyDescent="0.3">
      <c r="A16" s="58">
        <v>11</v>
      </c>
      <c r="B16" s="58" t="str">
        <f>'Plan Mensuel S2'!B10</f>
        <v>juin 2027</v>
      </c>
      <c r="C16" s="24">
        <f>'Plan Mensuel S2'!C10</f>
        <v>0</v>
      </c>
      <c r="D16" s="24">
        <f>'Plan Mensuel S2'!D10</f>
        <v>0</v>
      </c>
      <c r="E16" s="24">
        <f>'Plan Mensuel S2'!E10</f>
        <v>0</v>
      </c>
      <c r="F16" s="25">
        <f>'Plan Mensuel S2'!J10</f>
        <v>0</v>
      </c>
    </row>
    <row r="17" spans="1:6" ht="33.75" customHeight="1" x14ac:dyDescent="0.3">
      <c r="A17" s="58">
        <v>12</v>
      </c>
      <c r="B17" s="58" t="str">
        <f>'Plan Mensuel S2'!B11</f>
        <v>juillet 2027</v>
      </c>
      <c r="C17" s="24">
        <f>'Plan Mensuel S2'!C11</f>
        <v>0</v>
      </c>
      <c r="D17" s="24">
        <f>'Plan Mensuel S2'!D11</f>
        <v>0</v>
      </c>
      <c r="E17" s="24">
        <f>'Plan Mensuel S2'!E11</f>
        <v>0</v>
      </c>
      <c r="F17" s="25">
        <f>'Plan Mensuel S2'!J11</f>
        <v>0</v>
      </c>
    </row>
    <row r="18" spans="1:6" x14ac:dyDescent="0.3">
      <c r="B18" s="22" t="s">
        <v>78</v>
      </c>
      <c r="E18" s="22">
        <f>SUM(E6:E17)</f>
        <v>1</v>
      </c>
      <c r="F18" s="23">
        <f>SUM(F6:F17)</f>
        <v>150</v>
      </c>
    </row>
  </sheetData>
  <sheetProtection algorithmName="SHA-512" hashValue="oplMTIUbP5BwMRt5JhZWxXo764cUg8vB5hSuzEx8MWsrZIPSyydT3JSi+kzlp/aUxsILU7wwftLmlPnIU4vfhg==" saltValue="zXJb0S2MRKsBSUFeHRFweg==" spinCount="100000" sheet="1" objects="1" scenarios="1"/>
  <mergeCells count="1">
    <mergeCell ref="A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B2:D47"/>
  <sheetViews>
    <sheetView showGridLines="0" zoomScaleNormal="100" workbookViewId="0">
      <selection activeCell="R8" sqref="R8"/>
    </sheetView>
  </sheetViews>
  <sheetFormatPr baseColWidth="10" defaultColWidth="8.6640625" defaultRowHeight="14.4" x14ac:dyDescent="0.3"/>
  <cols>
    <col min="2" max="2" width="34" customWidth="1"/>
    <col min="3" max="3" width="12.77734375" customWidth="1"/>
    <col min="4" max="4" width="16" customWidth="1"/>
  </cols>
  <sheetData>
    <row r="2" spans="2:4" ht="21" x14ac:dyDescent="0.4">
      <c r="B2" s="2" t="s">
        <v>79</v>
      </c>
    </row>
    <row r="3" spans="2:4" x14ac:dyDescent="0.3">
      <c r="B3" s="1" t="s">
        <v>80</v>
      </c>
    </row>
    <row r="5" spans="2:4" ht="21.75" customHeight="1" x14ac:dyDescent="0.3">
      <c r="B5" s="22" t="s">
        <v>81</v>
      </c>
      <c r="C5" s="59"/>
      <c r="D5" s="26">
        <f>COUNTIF('Plan Hebdomadaire S1'!$E$6:$E$187,"&lt;&gt;")+COUNTIF('Plan Hebdomadaire S2'!$E$6:$E$187,"&lt;&gt;")</f>
        <v>1</v>
      </c>
    </row>
    <row r="6" spans="2:4" ht="21.75" customHeight="1" x14ac:dyDescent="0.3">
      <c r="B6" s="22" t="s">
        <v>82</v>
      </c>
      <c r="C6" s="59"/>
      <c r="D6" s="26">
        <f>COUNTIF('Plan Hebdomadaire S1'!$M$6:$M$187,"Publié")+COUNTIF('Plan Hebdomadaire S2'!$M$6:$M$187,"Publié")</f>
        <v>0</v>
      </c>
    </row>
    <row r="7" spans="2:4" ht="21.75" customHeight="1" x14ac:dyDescent="0.3">
      <c r="B7" s="22" t="s">
        <v>83</v>
      </c>
      <c r="C7" s="59"/>
      <c r="D7" s="26">
        <f>COUNTIF('Plan Hebdomadaire S1'!$M$6:$M$187,"En cours")+COUNTIF('Plan Hebdomadaire S2'!$M$6:$M$187,"En cours")</f>
        <v>0</v>
      </c>
    </row>
    <row r="8" spans="2:4" ht="21.75" customHeight="1" x14ac:dyDescent="0.3">
      <c r="B8" s="22" t="s">
        <v>84</v>
      </c>
      <c r="C8" s="59"/>
      <c r="D8" s="26">
        <f>COUNTIFS('Plan Hebdomadaire S1'!$J$6:$J$187,"&lt;&gt;",'Plan Hebdomadaire S1'!$J$6:$J$187,"&lt;&gt;Aucune")+COUNTIFS('Plan Hebdomadaire S2'!$J$6:$J$187,"&lt;&gt;",'Plan Hebdomadaire S2'!$J$6:$J$187,"&lt;&gt;Aucune")</f>
        <v>1</v>
      </c>
    </row>
    <row r="9" spans="2:4" ht="21.75" customHeight="1" x14ac:dyDescent="0.3">
      <c r="B9" s="22" t="s">
        <v>85</v>
      </c>
      <c r="C9" s="59"/>
      <c r="D9" s="27">
        <f>SUM('Plan Hebdomadaire S1'!$K$6:$K$187)+SUM('Plan Hebdomadaire S2'!$K$6:$K$187)</f>
        <v>150</v>
      </c>
    </row>
    <row r="12" spans="2:4" ht="15.6" x14ac:dyDescent="0.3">
      <c r="B12" s="36" t="s">
        <v>86</v>
      </c>
      <c r="C12" s="36"/>
    </row>
    <row r="13" spans="2:4" x14ac:dyDescent="0.3">
      <c r="B13" s="28" t="s">
        <v>87</v>
      </c>
      <c r="C13" s="28">
        <f>COUNTIF('Plan Hebdomadaire S1'!$H$6:$H$187,B13)+COUNTIF('Plan Hebdomadaire S2'!$H$6:$H$187,B13)</f>
        <v>0</v>
      </c>
    </row>
    <row r="14" spans="2:4" x14ac:dyDescent="0.3">
      <c r="B14" s="28" t="s">
        <v>51</v>
      </c>
      <c r="C14" s="28">
        <f>COUNTIF('Plan Hebdomadaire S1'!$H$6:$H$187,B14)+COUNTIF('Plan Hebdomadaire S2'!$H$6:$H$187,B14)</f>
        <v>1</v>
      </c>
    </row>
    <row r="15" spans="2:4" x14ac:dyDescent="0.3">
      <c r="B15" s="28" t="s">
        <v>88</v>
      </c>
      <c r="C15" s="28">
        <f>COUNTIF('Plan Hebdomadaire S1'!$H$6:$H$187,B15)+COUNTIF('Plan Hebdomadaire S2'!$H$6:$H$187,B15)</f>
        <v>0</v>
      </c>
    </row>
    <row r="16" spans="2:4" x14ac:dyDescent="0.3">
      <c r="B16" s="28" t="s">
        <v>89</v>
      </c>
      <c r="C16" s="28">
        <f>COUNTIF('Plan Hebdomadaire S1'!$H$6:$H$187,B16)+COUNTIF('Plan Hebdomadaire S2'!$H$6:$H$187,B16)</f>
        <v>0</v>
      </c>
    </row>
    <row r="17" spans="2:3" x14ac:dyDescent="0.3">
      <c r="B17" s="28" t="s">
        <v>90</v>
      </c>
      <c r="C17" s="28">
        <f>COUNTIF('Plan Hebdomadaire S1'!$H$6:$H$187,B17)+COUNTIF('Plan Hebdomadaire S2'!$H$6:$H$187,B17)</f>
        <v>0</v>
      </c>
    </row>
    <row r="18" spans="2:3" x14ac:dyDescent="0.3">
      <c r="B18" s="28" t="s">
        <v>91</v>
      </c>
      <c r="C18" s="28">
        <f>COUNTIF('Plan Hebdomadaire S1'!$H$6:$H$187,B18)+COUNTIF('Plan Hebdomadaire S2'!$H$6:$H$187,B18)</f>
        <v>0</v>
      </c>
    </row>
    <row r="19" spans="2:3" x14ac:dyDescent="0.3">
      <c r="B19" s="28" t="s">
        <v>92</v>
      </c>
      <c r="C19" s="28">
        <f>COUNTIF('Plan Hebdomadaire S1'!$H$6:$H$187,B19)+COUNTIF('Plan Hebdomadaire S2'!$H$6:$H$187,B19)</f>
        <v>0</v>
      </c>
    </row>
    <row r="20" spans="2:3" x14ac:dyDescent="0.3">
      <c r="B20" s="28" t="s">
        <v>93</v>
      </c>
      <c r="C20" s="28">
        <f>COUNTIF('Plan Hebdomadaire S1'!$H$6:$H$187,B20)+COUNTIF('Plan Hebdomadaire S2'!$H$6:$H$187,B20)</f>
        <v>0</v>
      </c>
    </row>
    <row r="21" spans="2:3" x14ac:dyDescent="0.3">
      <c r="B21" s="28" t="s">
        <v>94</v>
      </c>
      <c r="C21" s="28">
        <f>COUNTIF('Plan Hebdomadaire S1'!$H$6:$H$187,B21)+COUNTIF('Plan Hebdomadaire S2'!$H$6:$H$187,B21)</f>
        <v>0</v>
      </c>
    </row>
    <row r="22" spans="2:3" x14ac:dyDescent="0.3">
      <c r="B22" s="28" t="s">
        <v>95</v>
      </c>
      <c r="C22" s="28">
        <f>COUNTIF('Plan Hebdomadaire S1'!$H$6:$H$187,B22)+COUNTIF('Plan Hebdomadaire S2'!$H$6:$H$187,B22)</f>
        <v>0</v>
      </c>
    </row>
    <row r="23" spans="2:3" x14ac:dyDescent="0.3">
      <c r="B23" s="29"/>
      <c r="C23" s="29"/>
    </row>
    <row r="24" spans="2:3" ht="15.6" x14ac:dyDescent="0.3">
      <c r="B24" s="36" t="s">
        <v>96</v>
      </c>
      <c r="C24" s="36"/>
    </row>
    <row r="25" spans="2:3" x14ac:dyDescent="0.3">
      <c r="B25" s="28" t="s">
        <v>97</v>
      </c>
      <c r="C25" s="28">
        <f>COUNTIF('Plan Hebdomadaire S1'!$I$6:$I$187,B25)+COUNTIF('Plan Hebdomadaire S2'!$I$6:$I$187,B25)</f>
        <v>0</v>
      </c>
    </row>
    <row r="26" spans="2:3" x14ac:dyDescent="0.3">
      <c r="B26" s="28" t="s">
        <v>98</v>
      </c>
      <c r="C26" s="28">
        <f>COUNTIF('Plan Hebdomadaire S1'!$I$6:$I$187,B26)+COUNTIF('Plan Hebdomadaire S2'!$I$6:$I$187,B26)</f>
        <v>0</v>
      </c>
    </row>
    <row r="27" spans="2:3" x14ac:dyDescent="0.3">
      <c r="B27" s="28" t="s">
        <v>52</v>
      </c>
      <c r="C27" s="28">
        <f>COUNTIF('Plan Hebdomadaire S1'!$I$6:$I$187,B27)+COUNTIF('Plan Hebdomadaire S2'!$I$6:$I$187,B27)</f>
        <v>1</v>
      </c>
    </row>
    <row r="28" spans="2:3" x14ac:dyDescent="0.3">
      <c r="B28" s="28" t="s">
        <v>99</v>
      </c>
      <c r="C28" s="28">
        <f>COUNTIF('Plan Hebdomadaire S1'!$I$6:$I$187,B28)+COUNTIF('Plan Hebdomadaire S2'!$I$6:$I$187,B28)</f>
        <v>0</v>
      </c>
    </row>
    <row r="29" spans="2:3" x14ac:dyDescent="0.3">
      <c r="B29" s="28" t="s">
        <v>100</v>
      </c>
      <c r="C29" s="28">
        <f>COUNTIF('Plan Hebdomadaire S1'!$I$6:$I$187,B29)+COUNTIF('Plan Hebdomadaire S2'!$I$6:$I$187,B29)</f>
        <v>0</v>
      </c>
    </row>
    <row r="30" spans="2:3" x14ac:dyDescent="0.3">
      <c r="B30" s="28" t="s">
        <v>101</v>
      </c>
      <c r="C30" s="28">
        <f>COUNTIF('Plan Hebdomadaire S1'!$I$6:$I$187,B30)+COUNTIF('Plan Hebdomadaire S2'!$I$6:$I$187,B30)</f>
        <v>0</v>
      </c>
    </row>
    <row r="31" spans="2:3" x14ac:dyDescent="0.3">
      <c r="B31" s="28" t="s">
        <v>102</v>
      </c>
      <c r="C31" s="28">
        <f>COUNTIF('Plan Hebdomadaire S1'!$I$6:$I$187,B31)+COUNTIF('Plan Hebdomadaire S2'!$I$6:$I$187,B31)</f>
        <v>0</v>
      </c>
    </row>
    <row r="32" spans="2:3" x14ac:dyDescent="0.3">
      <c r="B32" s="28" t="s">
        <v>103</v>
      </c>
      <c r="C32" s="28">
        <f>COUNTIF('Plan Hebdomadaire S1'!$I$6:$I$187,B32)+COUNTIF('Plan Hebdomadaire S2'!$I$6:$I$187,B32)</f>
        <v>0</v>
      </c>
    </row>
    <row r="35" spans="2:3" ht="15.6" x14ac:dyDescent="0.3">
      <c r="B35" s="34" t="s">
        <v>104</v>
      </c>
      <c r="C35" s="34"/>
    </row>
    <row r="36" spans="2:3" x14ac:dyDescent="0.3">
      <c r="B36" s="28" t="str">
        <f>IFERROR('Plan Annuel'!B6,"")</f>
        <v>août 2026</v>
      </c>
      <c r="C36" s="30">
        <f>'Plan Annuel'!F6</f>
        <v>150</v>
      </c>
    </row>
    <row r="37" spans="2:3" x14ac:dyDescent="0.3">
      <c r="B37" s="28" t="str">
        <f>IFERROR('Plan Annuel'!B7,"")</f>
        <v>septembre 2026</v>
      </c>
      <c r="C37" s="30">
        <f>'Plan Annuel'!F7</f>
        <v>0</v>
      </c>
    </row>
    <row r="38" spans="2:3" x14ac:dyDescent="0.3">
      <c r="B38" s="28" t="str">
        <f>IFERROR('Plan Annuel'!B8,"")</f>
        <v>octobre 2026</v>
      </c>
      <c r="C38" s="30">
        <f>'Plan Annuel'!F8</f>
        <v>0</v>
      </c>
    </row>
    <row r="39" spans="2:3" x14ac:dyDescent="0.3">
      <c r="B39" s="28" t="str">
        <f>IFERROR('Plan Annuel'!B9,"")</f>
        <v>novembre 2026</v>
      </c>
      <c r="C39" s="30">
        <f>'Plan Annuel'!F9</f>
        <v>0</v>
      </c>
    </row>
    <row r="40" spans="2:3" x14ac:dyDescent="0.3">
      <c r="B40" s="28" t="str">
        <f>IFERROR('Plan Annuel'!B10,"")</f>
        <v>décembre 2026</v>
      </c>
      <c r="C40" s="30">
        <f>'Plan Annuel'!F10</f>
        <v>0</v>
      </c>
    </row>
    <row r="41" spans="2:3" x14ac:dyDescent="0.3">
      <c r="B41" s="28" t="str">
        <f>IFERROR('Plan Annuel'!B11,"")</f>
        <v>janvier 2027</v>
      </c>
      <c r="C41" s="30">
        <f>'Plan Annuel'!F11</f>
        <v>0</v>
      </c>
    </row>
    <row r="42" spans="2:3" x14ac:dyDescent="0.3">
      <c r="B42" s="28" t="str">
        <f>IFERROR('Plan Annuel'!B12,"")</f>
        <v>février 2027</v>
      </c>
      <c r="C42" s="30">
        <f>'Plan Annuel'!F12</f>
        <v>0</v>
      </c>
    </row>
    <row r="43" spans="2:3" x14ac:dyDescent="0.3">
      <c r="B43" s="28" t="str">
        <f>IFERROR('Plan Annuel'!B13,"")</f>
        <v>mars 2027</v>
      </c>
      <c r="C43" s="30">
        <f>'Plan Annuel'!F13</f>
        <v>0</v>
      </c>
    </row>
    <row r="44" spans="2:3" x14ac:dyDescent="0.3">
      <c r="B44" s="28" t="str">
        <f>IFERROR('Plan Annuel'!B14,"")</f>
        <v>avril 2027</v>
      </c>
      <c r="C44" s="30">
        <f>'Plan Annuel'!F14</f>
        <v>0</v>
      </c>
    </row>
    <row r="45" spans="2:3" x14ac:dyDescent="0.3">
      <c r="B45" s="28" t="str">
        <f>IFERROR('Plan Annuel'!B15,"")</f>
        <v>mai 2027</v>
      </c>
      <c r="C45" s="30">
        <f>'Plan Annuel'!F15</f>
        <v>0</v>
      </c>
    </row>
    <row r="46" spans="2:3" x14ac:dyDescent="0.3">
      <c r="B46" s="28" t="str">
        <f>IFERROR('Plan Annuel'!B16,"")</f>
        <v>juin 2027</v>
      </c>
      <c r="C46" s="30">
        <f>'Plan Annuel'!F16</f>
        <v>0</v>
      </c>
    </row>
    <row r="47" spans="2:3" x14ac:dyDescent="0.3">
      <c r="B47" s="28" t="str">
        <f>IFERROR('Plan Annuel'!B17,"")</f>
        <v>juillet 2027</v>
      </c>
      <c r="C47" s="30">
        <f>'Plan Annuel'!F17</f>
        <v>0</v>
      </c>
    </row>
  </sheetData>
  <sheetProtection algorithmName="SHA-512" hashValue="a5kZIzg487WKy6yWr46QBnKQV2B97Jy7FGDUXymhgA/wt9XuzN3cO4scR2ZdSPCwIMg8oxVCs7/yzBpeNJG4PA==" saltValue="jR88GqtMVIqEW6hdXJAheQ==" spinCount="100000" sheet="1" objects="1" scenarios="1"/>
  <mergeCells count="3">
    <mergeCell ref="B12:C12"/>
    <mergeCell ref="B24:C24"/>
    <mergeCell ref="B35:C3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"/>
  <sheetViews>
    <sheetView showGridLines="0" zoomScaleNormal="100" workbookViewId="0"/>
  </sheetViews>
  <sheetFormatPr baseColWidth="10" defaultColWidth="8.6640625" defaultRowHeight="14.4" x14ac:dyDescent="0.3"/>
  <cols>
    <col min="1" max="6" width="26" customWidth="1"/>
  </cols>
  <sheetData>
    <row r="1" spans="1:6" x14ac:dyDescent="0.3">
      <c r="A1" s="31" t="s">
        <v>41</v>
      </c>
      <c r="B1" s="31" t="s">
        <v>42</v>
      </c>
      <c r="C1" s="31" t="s">
        <v>43</v>
      </c>
      <c r="D1" s="31" t="s">
        <v>40</v>
      </c>
      <c r="E1" s="31" t="s">
        <v>46</v>
      </c>
      <c r="F1" s="31" t="s">
        <v>105</v>
      </c>
    </row>
    <row r="2" spans="1:6" x14ac:dyDescent="0.3">
      <c r="A2" s="32"/>
      <c r="B2" s="32"/>
      <c r="C2" s="32"/>
      <c r="D2" s="32"/>
      <c r="E2" s="32" t="s">
        <v>55</v>
      </c>
      <c r="F2" s="32"/>
    </row>
    <row r="3" spans="1:6" x14ac:dyDescent="0.3">
      <c r="A3" s="32" t="s">
        <v>87</v>
      </c>
      <c r="B3" s="32" t="s">
        <v>97</v>
      </c>
      <c r="C3" s="32" t="s">
        <v>106</v>
      </c>
      <c r="D3" s="32" t="s">
        <v>50</v>
      </c>
      <c r="E3" s="32" t="s">
        <v>107</v>
      </c>
      <c r="F3" s="32" t="s">
        <v>108</v>
      </c>
    </row>
    <row r="4" spans="1:6" x14ac:dyDescent="0.3">
      <c r="A4" s="32" t="s">
        <v>51</v>
      </c>
      <c r="B4" s="32" t="s">
        <v>98</v>
      </c>
      <c r="C4" s="32" t="s">
        <v>109</v>
      </c>
      <c r="D4" s="32" t="s">
        <v>110</v>
      </c>
      <c r="E4" s="32" t="s">
        <v>111</v>
      </c>
      <c r="F4" s="32" t="s">
        <v>112</v>
      </c>
    </row>
    <row r="5" spans="1:6" x14ac:dyDescent="0.3">
      <c r="A5" s="32" t="s">
        <v>88</v>
      </c>
      <c r="B5" s="32" t="s">
        <v>52</v>
      </c>
      <c r="C5" s="32" t="s">
        <v>113</v>
      </c>
      <c r="D5" s="32" t="s">
        <v>114</v>
      </c>
      <c r="E5" s="32" t="s">
        <v>115</v>
      </c>
      <c r="F5" s="32" t="s">
        <v>116</v>
      </c>
    </row>
    <row r="6" spans="1:6" x14ac:dyDescent="0.3">
      <c r="A6" s="32" t="s">
        <v>89</v>
      </c>
      <c r="B6" s="32" t="s">
        <v>99</v>
      </c>
      <c r="C6" s="32" t="s">
        <v>117</v>
      </c>
      <c r="D6" s="32" t="s">
        <v>118</v>
      </c>
      <c r="F6" s="32" t="s">
        <v>119</v>
      </c>
    </row>
    <row r="7" spans="1:6" x14ac:dyDescent="0.3">
      <c r="A7" s="32" t="s">
        <v>90</v>
      </c>
      <c r="B7" s="32" t="s">
        <v>100</v>
      </c>
      <c r="C7" s="32" t="s">
        <v>53</v>
      </c>
      <c r="D7" s="32" t="s">
        <v>120</v>
      </c>
      <c r="F7" s="32" t="s">
        <v>121</v>
      </c>
    </row>
    <row r="8" spans="1:6" x14ac:dyDescent="0.3">
      <c r="A8" s="32" t="s">
        <v>91</v>
      </c>
      <c r="B8" s="32" t="s">
        <v>101</v>
      </c>
      <c r="C8" s="32" t="s">
        <v>122</v>
      </c>
      <c r="D8" s="32" t="s">
        <v>123</v>
      </c>
      <c r="F8" s="32" t="s">
        <v>124</v>
      </c>
    </row>
    <row r="9" spans="1:6" x14ac:dyDescent="0.3">
      <c r="A9" s="32" t="s">
        <v>92</v>
      </c>
      <c r="B9" s="32" t="s">
        <v>102</v>
      </c>
      <c r="C9" s="32" t="s">
        <v>125</v>
      </c>
      <c r="D9" s="32" t="s">
        <v>126</v>
      </c>
    </row>
    <row r="10" spans="1:6" x14ac:dyDescent="0.3">
      <c r="A10" s="32" t="s">
        <v>93</v>
      </c>
      <c r="B10" s="32" t="s">
        <v>103</v>
      </c>
      <c r="C10" s="32" t="s">
        <v>127</v>
      </c>
      <c r="D10" s="32" t="s">
        <v>128</v>
      </c>
    </row>
    <row r="11" spans="1:6" x14ac:dyDescent="0.3">
      <c r="A11" s="32" t="s">
        <v>94</v>
      </c>
      <c r="D11" s="32" t="s">
        <v>129</v>
      </c>
    </row>
    <row r="12" spans="1:6" x14ac:dyDescent="0.3">
      <c r="A12" s="32" t="s">
        <v>95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Guide</vt:lpstr>
      <vt:lpstr>Stratégie de Communication</vt:lpstr>
      <vt:lpstr>Plan Hebdomadaire S1</vt:lpstr>
      <vt:lpstr>Plan Hebdomadaire S2</vt:lpstr>
      <vt:lpstr>Plan Mensuel S1</vt:lpstr>
      <vt:lpstr>Plan Mensuel S2</vt:lpstr>
      <vt:lpstr>Plan Annuel</vt:lpstr>
      <vt:lpstr>Tableau de Bord</vt:lpstr>
      <vt:lpstr>Listes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Lysiane Randria</cp:lastModifiedBy>
  <cp:revision>1</cp:revision>
  <dcterms:created xsi:type="dcterms:W3CDTF">2026-07-16T05:01:48Z</dcterms:created>
  <dcterms:modified xsi:type="dcterms:W3CDTF">2026-07-20T04:06:46Z</dcterms:modified>
  <dc:language>en-US</dc:language>
</cp:coreProperties>
</file>